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3"/>
  <workbookPr defaultThemeVersion="166925"/>
  <mc:AlternateContent xmlns:mc="http://schemas.openxmlformats.org/markup-compatibility/2006">
    <mc:Choice Requires="x15">
      <x15ac:absPath xmlns:x15ac="http://schemas.microsoft.com/office/spreadsheetml/2010/11/ac" url="/Users/yunxichen/Desktop/Cancer Research 2022ver/Papers/EVADD Paper_Thupten/revision/"/>
    </mc:Choice>
  </mc:AlternateContent>
  <xr:revisionPtr revIDLastSave="0" documentId="13_ncr:1_{64778E1A-E7C2-084A-91F3-088344ECAEF8}" xr6:coauthVersionLast="47" xr6:coauthVersionMax="47" xr10:uidLastSave="{00000000-0000-0000-0000-000000000000}"/>
  <bookViews>
    <workbookView xWindow="360" yWindow="280" windowWidth="27340" windowHeight="17720" xr2:uid="{00000000-000D-0000-FFFF-FFFF00000000}"/>
  </bookViews>
  <sheets>
    <sheet name="combined 963 (pubmed in blue)" sheetId="4" r:id="rId1"/>
    <sheet name="web of science raw 734" sheetId="1" r:id="rId2"/>
    <sheet name="pubmed raw 428" sheetId="2" r:id="rId3"/>
    <sheet name="detect duplicates" sheetId="3" r:id="rId4"/>
  </sheets>
  <definedNames>
    <definedName name="_xlnm._FilterDatabase" localSheetId="3" hidden="1">'detect duplicates'!$F$1:$F$736</definedName>
  </definedNames>
  <calcPr calcId="191029" iterateCount="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F668" i="1" l="1"/>
  <c r="BT668" i="1"/>
  <c r="BF523" i="1"/>
  <c r="BT523" i="1"/>
  <c r="BF268" i="1"/>
  <c r="BT268" i="1"/>
  <c r="BF129" i="1"/>
  <c r="BT129" i="1"/>
  <c r="BF669" i="1"/>
  <c r="BT669" i="1"/>
  <c r="BF269" i="1"/>
  <c r="BT269" i="1"/>
  <c r="BF169" i="1"/>
  <c r="BT169" i="1"/>
  <c r="BF103" i="1"/>
  <c r="BT103" i="1"/>
  <c r="BF118" i="1"/>
  <c r="BT118" i="1"/>
  <c r="BF159" i="1"/>
  <c r="BT159" i="1"/>
  <c r="BF442" i="1"/>
  <c r="BT442" i="1"/>
  <c r="BF282" i="1"/>
  <c r="BT282" i="1"/>
  <c r="BF297" i="1"/>
  <c r="BT297" i="1"/>
  <c r="BF524" i="1"/>
  <c r="BT524" i="1"/>
  <c r="BF350" i="1"/>
  <c r="BT350" i="1"/>
  <c r="BF525" i="1"/>
  <c r="BT525" i="1"/>
  <c r="BF474" i="1"/>
  <c r="BT474" i="1"/>
  <c r="BT670" i="1"/>
  <c r="BF389" i="1"/>
  <c r="BT389" i="1"/>
  <c r="BF38" i="1"/>
  <c r="BT38" i="1"/>
  <c r="BF35" i="1"/>
  <c r="BT35" i="1"/>
  <c r="BF41" i="1"/>
  <c r="BT41" i="1"/>
  <c r="BF499" i="1"/>
  <c r="BT499" i="1"/>
  <c r="BF58" i="1"/>
  <c r="BT58" i="1"/>
  <c r="BF26" i="1"/>
  <c r="BT26" i="1"/>
  <c r="BF580" i="1"/>
  <c r="BT580" i="1"/>
  <c r="BF178" i="1"/>
  <c r="BT178" i="1"/>
  <c r="BF581" i="1"/>
  <c r="BT581" i="1"/>
  <c r="BF74" i="1"/>
  <c r="BT74" i="1"/>
  <c r="BF351" i="1"/>
  <c r="BT351" i="1"/>
  <c r="BF21" i="1"/>
  <c r="BT21" i="1"/>
  <c r="BF582" i="1"/>
  <c r="BT582" i="1"/>
  <c r="BF247" i="1"/>
  <c r="BT247" i="1"/>
  <c r="BF549" i="1"/>
  <c r="BT549" i="1"/>
  <c r="BF163" i="1"/>
  <c r="BT163" i="1"/>
  <c r="BF33" i="1"/>
  <c r="BT33" i="1"/>
  <c r="BF550" i="1"/>
  <c r="BT550" i="1"/>
  <c r="BF422" i="1"/>
  <c r="BT422" i="1"/>
  <c r="BF376" i="1"/>
  <c r="BT376" i="1"/>
  <c r="BF583" i="1"/>
  <c r="BT583" i="1"/>
  <c r="BF202" i="1"/>
  <c r="BT202" i="1"/>
  <c r="BF620" i="1"/>
  <c r="BT620" i="1"/>
  <c r="BF671" i="1"/>
  <c r="BT671" i="1"/>
  <c r="BF377" i="1"/>
  <c r="BT377" i="1"/>
  <c r="BF475" i="1"/>
  <c r="BT475" i="1"/>
  <c r="BF423" i="1"/>
  <c r="BT423" i="1"/>
  <c r="BF672" i="1"/>
  <c r="BT672" i="1"/>
  <c r="BF390" i="1"/>
  <c r="BT390" i="1"/>
  <c r="BF621" i="1"/>
  <c r="BT621" i="1"/>
  <c r="BF6" i="1"/>
  <c r="BT6" i="1"/>
  <c r="BF92" i="1"/>
  <c r="BT92" i="1"/>
  <c r="BF526" i="1"/>
  <c r="BT526" i="1"/>
  <c r="BF551" i="1"/>
  <c r="BT551" i="1"/>
  <c r="BF527" i="1"/>
  <c r="BT527" i="1"/>
  <c r="BF22" i="1"/>
  <c r="BT22" i="1"/>
  <c r="BF407" i="1"/>
  <c r="BT407" i="1"/>
  <c r="BF391" i="1"/>
  <c r="BT391" i="1"/>
  <c r="BF584" i="1"/>
  <c r="BT584" i="1"/>
  <c r="BF476" i="1"/>
  <c r="BT476" i="1"/>
  <c r="BF552" i="1"/>
  <c r="BT552" i="1"/>
  <c r="BF500" i="1"/>
  <c r="BT500" i="1"/>
  <c r="BF127" i="1"/>
  <c r="BT127" i="1"/>
  <c r="BF90" i="1"/>
  <c r="BT90" i="1"/>
  <c r="BF443" i="1"/>
  <c r="BT443" i="1"/>
  <c r="BF673" i="1"/>
  <c r="BT673" i="1"/>
  <c r="BF290" i="1"/>
  <c r="BT290" i="1"/>
  <c r="BF459" i="1"/>
  <c r="BT459" i="1"/>
  <c r="BF622" i="1"/>
  <c r="BT622" i="1"/>
  <c r="BF528" i="1"/>
  <c r="BT528" i="1"/>
  <c r="BF623" i="1"/>
  <c r="BT623" i="1"/>
  <c r="BF29" i="1"/>
  <c r="BT29" i="1"/>
  <c r="BF19" i="1"/>
  <c r="BT19" i="1"/>
  <c r="BF378" i="1"/>
  <c r="BT378" i="1"/>
  <c r="BF392" i="1"/>
  <c r="BT392" i="1"/>
  <c r="BF460" i="1"/>
  <c r="BT460" i="1"/>
  <c r="BF63" i="1"/>
  <c r="BT63" i="1"/>
  <c r="BF674" i="1"/>
  <c r="BT674" i="1"/>
  <c r="BF226" i="1"/>
  <c r="BT226" i="1"/>
  <c r="BF675" i="1"/>
  <c r="BT675" i="1"/>
  <c r="BF585" i="1"/>
  <c r="BT585" i="1"/>
  <c r="BF145" i="1"/>
  <c r="BT145" i="1"/>
  <c r="BF30" i="1"/>
  <c r="BT30" i="1"/>
  <c r="BF408" i="1"/>
  <c r="BT408" i="1"/>
  <c r="BF313" i="1"/>
  <c r="BT313" i="1"/>
  <c r="BF676" i="1"/>
  <c r="BT676" i="1"/>
  <c r="BF409" i="1"/>
  <c r="BT409" i="1"/>
  <c r="BF624" i="1"/>
  <c r="BT624" i="1"/>
  <c r="BF586" i="1"/>
  <c r="BT586" i="1"/>
  <c r="BF477" i="1"/>
  <c r="BT477" i="1"/>
  <c r="BF501" i="1"/>
  <c r="BT501" i="1"/>
  <c r="BF625" i="1"/>
  <c r="BT625" i="1"/>
  <c r="BF186" i="1"/>
  <c r="BT186" i="1"/>
  <c r="BF119" i="1"/>
  <c r="BT119" i="1"/>
  <c r="BF47" i="1"/>
  <c r="BT47" i="1"/>
  <c r="BF283" i="1"/>
  <c r="BT283" i="1"/>
  <c r="BF626" i="1"/>
  <c r="BT626" i="1"/>
  <c r="BF478" i="1"/>
  <c r="BT478" i="1"/>
  <c r="BF113" i="1"/>
  <c r="BT113" i="1"/>
  <c r="BF529" i="1"/>
  <c r="BT529" i="1"/>
  <c r="BF627" i="1"/>
  <c r="BT627" i="1"/>
  <c r="BF444" i="1"/>
  <c r="BT444" i="1"/>
  <c r="BF164" i="1"/>
  <c r="BT164" i="1"/>
  <c r="BF677" i="1"/>
  <c r="BT677" i="1"/>
  <c r="BF64" i="1"/>
  <c r="BT64" i="1"/>
  <c r="BF270" i="1"/>
  <c r="BT270" i="1"/>
  <c r="BF160" i="1"/>
  <c r="BT160" i="1"/>
  <c r="BF628" i="1"/>
  <c r="BT628" i="1"/>
  <c r="BF479" i="1"/>
  <c r="BT479" i="1"/>
  <c r="BF142" i="1"/>
  <c r="BT142" i="1"/>
  <c r="BF44" i="1"/>
  <c r="BT44" i="1"/>
  <c r="BF393" i="1"/>
  <c r="BT393" i="1"/>
  <c r="BF235" i="1"/>
  <c r="BT235" i="1"/>
  <c r="BF188" i="1"/>
  <c r="BT188" i="1"/>
  <c r="BF678" i="1"/>
  <c r="BT678" i="1"/>
  <c r="BF68" i="1"/>
  <c r="BT68" i="1"/>
  <c r="BF261" i="1"/>
  <c r="BT261" i="1"/>
  <c r="BF170" i="1"/>
  <c r="BT170" i="1"/>
  <c r="BF291" i="1"/>
  <c r="BT291" i="1"/>
  <c r="BF361" i="1"/>
  <c r="BT361" i="1"/>
  <c r="BF445" i="1"/>
  <c r="BT445" i="1"/>
  <c r="BF587" i="1"/>
  <c r="BT587" i="1"/>
  <c r="BF588" i="1"/>
  <c r="BT588" i="1"/>
  <c r="BF530" i="1"/>
  <c r="BT530" i="1"/>
  <c r="BF333" i="1"/>
  <c r="BT333" i="1"/>
  <c r="BF531" i="1"/>
  <c r="BT531" i="1"/>
  <c r="BF11" i="1"/>
  <c r="BT11" i="1"/>
  <c r="BF424" i="1"/>
  <c r="BT424" i="1"/>
  <c r="BF334" i="1"/>
  <c r="BT334" i="1"/>
  <c r="BF410" i="1"/>
  <c r="BT410" i="1"/>
  <c r="BF411" i="1"/>
  <c r="BT411" i="1"/>
  <c r="BF271" i="1"/>
  <c r="BT271" i="1"/>
  <c r="BF502" i="1"/>
  <c r="BT502" i="1"/>
  <c r="BF221" i="1"/>
  <c r="BT221" i="1"/>
  <c r="BF394" i="1"/>
  <c r="BT394" i="1"/>
  <c r="BF292" i="1"/>
  <c r="BT292" i="1"/>
  <c r="BF532" i="1"/>
  <c r="BT532" i="1"/>
  <c r="BF589" i="1"/>
  <c r="BT589" i="1"/>
  <c r="BF629" i="1"/>
  <c r="BT629" i="1"/>
  <c r="BF189" i="1"/>
  <c r="BT189" i="1"/>
  <c r="BF630" i="1"/>
  <c r="BT630" i="1"/>
  <c r="BF679" i="1"/>
  <c r="BT679" i="1"/>
  <c r="BF680" i="1"/>
  <c r="BT680" i="1"/>
  <c r="BF681" i="1"/>
  <c r="BT681" i="1"/>
  <c r="BF241" i="1"/>
  <c r="BT241" i="1"/>
  <c r="BF335" i="1"/>
  <c r="BT335" i="1"/>
  <c r="BF425" i="1"/>
  <c r="BT425" i="1"/>
  <c r="BF446" i="1"/>
  <c r="BT446" i="1"/>
  <c r="BF503" i="1"/>
  <c r="BT503" i="1"/>
  <c r="BF682" i="1"/>
  <c r="BT682" i="1"/>
  <c r="BF590" i="1"/>
  <c r="BT590" i="1"/>
  <c r="BF379" i="1"/>
  <c r="BT379" i="1"/>
  <c r="BF553" i="1"/>
  <c r="BT553" i="1"/>
  <c r="BF504" i="1"/>
  <c r="BT504" i="1"/>
  <c r="BF248" i="1"/>
  <c r="BT248" i="1"/>
  <c r="BF362" i="1"/>
  <c r="BT362" i="1"/>
  <c r="BF591" i="1"/>
  <c r="BT591" i="1"/>
  <c r="BF100" i="1"/>
  <c r="BT100" i="1"/>
  <c r="BF683" i="1"/>
  <c r="BT683" i="1"/>
  <c r="BF110" i="1"/>
  <c r="BT110" i="1"/>
  <c r="BF631" i="1"/>
  <c r="BT631" i="1"/>
  <c r="BF554" i="1"/>
  <c r="BT554" i="1"/>
  <c r="BF336" i="1"/>
  <c r="BT336" i="1"/>
  <c r="BF684" i="1"/>
  <c r="BT684" i="1"/>
  <c r="BF426" i="1"/>
  <c r="BT426" i="1"/>
  <c r="BF427" i="1"/>
  <c r="BT427" i="1"/>
  <c r="BF60" i="1"/>
  <c r="BT60" i="1"/>
  <c r="BF205" i="1"/>
  <c r="BT205" i="1"/>
  <c r="BF428" i="1"/>
  <c r="BT428" i="1"/>
  <c r="BF685" i="1"/>
  <c r="BT685" i="1"/>
  <c r="BF7" i="1"/>
  <c r="BT7" i="1"/>
  <c r="BF2" i="1"/>
  <c r="BT2" i="1"/>
  <c r="BF555" i="1"/>
  <c r="BT555" i="1"/>
  <c r="BT556" i="1"/>
  <c r="BF87" i="1"/>
  <c r="BT87" i="1"/>
  <c r="BF632" i="1"/>
  <c r="BT632" i="1"/>
  <c r="BF138" i="1"/>
  <c r="BT138" i="1"/>
  <c r="BF139" i="1"/>
  <c r="BT139" i="1"/>
  <c r="BF352" i="1"/>
  <c r="BT352" i="1"/>
  <c r="BF505" i="1"/>
  <c r="BT505" i="1"/>
  <c r="BF633" i="1"/>
  <c r="BT633" i="1"/>
  <c r="BF272" i="1"/>
  <c r="BT272" i="1"/>
  <c r="BF686" i="1"/>
  <c r="BT686" i="1"/>
  <c r="BF557" i="1"/>
  <c r="BT557" i="1"/>
  <c r="BF592" i="1"/>
  <c r="BT592" i="1"/>
  <c r="BF429" i="1"/>
  <c r="BT429" i="1"/>
  <c r="BF412" i="1"/>
  <c r="BT412" i="1"/>
  <c r="BF430" i="1"/>
  <c r="BT430" i="1"/>
  <c r="BF146" i="1"/>
  <c r="BT146" i="1"/>
  <c r="BF461" i="1"/>
  <c r="BT461" i="1"/>
  <c r="BF634" i="1"/>
  <c r="BT634" i="1"/>
  <c r="BF687" i="1"/>
  <c r="BT687" i="1"/>
  <c r="BF8" i="1"/>
  <c r="BT8" i="1"/>
  <c r="BF236" i="1"/>
  <c r="BT236" i="1"/>
  <c r="BF325" i="1"/>
  <c r="BT325" i="1"/>
  <c r="BF55" i="1"/>
  <c r="BT55" i="1"/>
  <c r="BF593" i="1"/>
  <c r="BT593" i="1"/>
  <c r="BF506" i="1"/>
  <c r="BT506" i="1"/>
  <c r="BF635" i="1"/>
  <c r="BT635" i="1"/>
  <c r="BF273" i="1"/>
  <c r="BT273" i="1"/>
  <c r="BF353" i="1"/>
  <c r="BT353" i="1"/>
  <c r="BF114" i="1"/>
  <c r="BT114" i="1"/>
  <c r="BF447" i="1"/>
  <c r="BT447" i="1"/>
  <c r="BF171" i="1"/>
  <c r="BT171" i="1"/>
  <c r="BF94" i="1"/>
  <c r="BT94" i="1"/>
  <c r="BF594" i="1"/>
  <c r="BT594" i="1"/>
  <c r="BF190" i="1"/>
  <c r="BT190" i="1"/>
  <c r="BF431" i="1"/>
  <c r="BT431" i="1"/>
  <c r="BF196" i="1"/>
  <c r="BT196" i="1"/>
  <c r="BF432" i="1"/>
  <c r="BT432" i="1"/>
  <c r="BF688" i="1"/>
  <c r="BT688" i="1"/>
  <c r="BF111" i="1"/>
  <c r="BT111" i="1"/>
  <c r="BF558" i="1"/>
  <c r="BT558" i="1"/>
  <c r="BF179" i="1"/>
  <c r="BT179" i="1"/>
  <c r="BF197" i="1"/>
  <c r="BT197" i="1"/>
  <c r="BF161" i="1"/>
  <c r="BT161" i="1"/>
  <c r="BF595" i="1"/>
  <c r="BT595" i="1"/>
  <c r="BF689" i="1"/>
  <c r="BT689" i="1"/>
  <c r="BF80" i="1"/>
  <c r="BT80" i="1"/>
  <c r="BF395" i="1"/>
  <c r="BT395" i="1"/>
  <c r="BF462" i="1"/>
  <c r="BT462" i="1"/>
  <c r="BF130" i="1"/>
  <c r="BT130" i="1"/>
  <c r="BF596" i="1"/>
  <c r="BT596" i="1"/>
  <c r="BF690" i="1"/>
  <c r="BT690" i="1"/>
  <c r="BF326" i="1"/>
  <c r="BT326" i="1"/>
  <c r="BF597" i="1"/>
  <c r="BT597" i="1"/>
  <c r="BF559" i="1"/>
  <c r="BT559" i="1"/>
  <c r="BF72" i="1"/>
  <c r="BT72" i="1"/>
  <c r="BF433" i="1"/>
  <c r="BT433" i="1"/>
  <c r="BF45" i="1"/>
  <c r="BT45" i="1"/>
  <c r="BF206" i="1"/>
  <c r="BT206" i="1"/>
  <c r="BF691" i="1"/>
  <c r="BT691" i="1"/>
  <c r="BF108" i="1"/>
  <c r="BT108" i="1"/>
  <c r="BF560" i="1"/>
  <c r="BT560" i="1"/>
  <c r="BF191" i="1"/>
  <c r="BT191" i="1"/>
  <c r="BF396" i="1"/>
  <c r="BT396" i="1"/>
  <c r="BF237" i="1"/>
  <c r="BT237" i="1"/>
  <c r="BF363" i="1"/>
  <c r="BT363" i="1"/>
  <c r="BF463" i="1"/>
  <c r="BT463" i="1"/>
  <c r="BF249" i="1"/>
  <c r="BT249" i="1"/>
  <c r="BF354" i="1"/>
  <c r="BT354" i="1"/>
  <c r="BF561" i="1"/>
  <c r="BT561" i="1"/>
  <c r="BF165" i="1"/>
  <c r="BT165" i="1"/>
  <c r="BF448" i="1"/>
  <c r="BT448" i="1"/>
  <c r="BF636" i="1"/>
  <c r="BT636" i="1"/>
  <c r="BF227" i="1"/>
  <c r="BT227" i="1"/>
  <c r="BF262" i="1"/>
  <c r="BT262" i="1"/>
  <c r="BF598" i="1"/>
  <c r="BT598" i="1"/>
  <c r="BF562" i="1"/>
  <c r="BT562" i="1"/>
  <c r="BF637" i="1"/>
  <c r="BT637" i="1"/>
  <c r="BF198" i="1"/>
  <c r="BT198" i="1"/>
  <c r="BF533" i="1"/>
  <c r="BT533" i="1"/>
  <c r="BF563" i="1"/>
  <c r="BT563" i="1"/>
  <c r="BF364" i="1"/>
  <c r="BT364" i="1"/>
  <c r="BF187" i="1"/>
  <c r="BT187" i="1"/>
  <c r="BF298" i="1"/>
  <c r="BT298" i="1"/>
  <c r="BF104" i="1"/>
  <c r="BT104" i="1"/>
  <c r="BF413" i="1"/>
  <c r="BT413" i="1"/>
  <c r="BF638" i="1"/>
  <c r="BT638" i="1"/>
  <c r="BF692" i="1"/>
  <c r="BT692" i="1"/>
  <c r="BF534" i="1"/>
  <c r="BT534" i="1"/>
  <c r="BF564" i="1"/>
  <c r="BT564" i="1"/>
  <c r="BF250" i="1"/>
  <c r="BT250" i="1"/>
  <c r="BF693" i="1"/>
  <c r="BT693" i="1"/>
  <c r="BF414" i="1"/>
  <c r="BT414" i="1"/>
  <c r="BF81" i="1"/>
  <c r="BT81" i="1"/>
  <c r="BF480" i="1"/>
  <c r="BT480" i="1"/>
  <c r="BF314" i="1"/>
  <c r="BT314" i="1"/>
  <c r="BF284" i="1"/>
  <c r="BT284" i="1"/>
  <c r="BF89" i="1"/>
  <c r="BT89" i="1"/>
  <c r="BF20" i="1"/>
  <c r="BT20" i="1"/>
  <c r="BF365" i="1"/>
  <c r="BT365" i="1"/>
  <c r="BF172" i="1"/>
  <c r="BT172" i="1"/>
  <c r="BF199" i="1"/>
  <c r="BT199" i="1"/>
  <c r="BF355" i="1"/>
  <c r="BT355" i="1"/>
  <c r="BF397" i="1"/>
  <c r="BT397" i="1"/>
  <c r="BF48" i="1"/>
  <c r="BT48" i="1"/>
  <c r="BF75" i="1"/>
  <c r="BT75" i="1"/>
  <c r="BF599" i="1"/>
  <c r="BT599" i="1"/>
  <c r="BF639" i="1"/>
  <c r="BT639" i="1"/>
  <c r="BF366" i="1"/>
  <c r="BT366" i="1"/>
  <c r="BF327" i="1"/>
  <c r="BT327" i="1"/>
  <c r="BF356" i="1"/>
  <c r="BT356" i="1"/>
  <c r="BF328" i="1"/>
  <c r="BT328" i="1"/>
  <c r="BF174" i="1"/>
  <c r="BT174" i="1"/>
  <c r="BF228" i="1"/>
  <c r="BT228" i="1"/>
  <c r="BF481" i="1"/>
  <c r="BT481" i="1"/>
  <c r="BF315" i="1"/>
  <c r="BT315" i="1"/>
  <c r="BF398" i="1"/>
  <c r="BT398" i="1"/>
  <c r="BF112" i="1"/>
  <c r="BT112" i="1"/>
  <c r="BF316" i="1"/>
  <c r="BT316" i="1"/>
  <c r="BF36" i="1"/>
  <c r="BT36" i="1"/>
  <c r="BF52" i="1"/>
  <c r="BT52" i="1"/>
  <c r="BF3" i="1"/>
  <c r="BT3" i="1"/>
  <c r="BF329" i="1"/>
  <c r="BT329" i="1"/>
  <c r="BF640" i="1"/>
  <c r="BT640" i="1"/>
  <c r="BF23" i="1"/>
  <c r="BT23" i="1"/>
  <c r="BF242" i="1"/>
  <c r="BT242" i="1"/>
  <c r="BF535" i="1"/>
  <c r="BT535" i="1"/>
  <c r="BF304" i="1"/>
  <c r="BT304" i="1"/>
  <c r="BF380" i="1"/>
  <c r="BT380" i="1"/>
  <c r="BF641" i="1"/>
  <c r="BT641" i="1"/>
  <c r="BF464" i="1"/>
  <c r="BT464" i="1"/>
  <c r="BF207" i="1"/>
  <c r="BT207" i="1"/>
  <c r="BF299" i="1"/>
  <c r="BT299" i="1"/>
  <c r="BF399" i="1"/>
  <c r="BT399" i="1"/>
  <c r="BF69" i="1"/>
  <c r="BT69" i="1"/>
  <c r="BT694" i="1"/>
  <c r="BF536" i="1"/>
  <c r="BT536" i="1"/>
  <c r="BF537" i="1"/>
  <c r="BT537" i="1"/>
  <c r="BF482" i="1"/>
  <c r="BT482" i="1"/>
  <c r="BF600" i="1"/>
  <c r="BT600" i="1"/>
  <c r="BF695" i="1"/>
  <c r="BT695" i="1"/>
  <c r="BF507" i="1"/>
  <c r="BT507" i="1"/>
  <c r="BF696" i="1"/>
  <c r="BT696" i="1"/>
  <c r="BF105" i="1"/>
  <c r="BT105" i="1"/>
  <c r="BF18" i="1"/>
  <c r="BT18" i="1"/>
  <c r="BF642" i="1"/>
  <c r="BT642" i="1"/>
  <c r="BF82" i="1"/>
  <c r="BT82" i="1"/>
  <c r="BF28" i="1"/>
  <c r="BT28" i="1"/>
  <c r="BF415" i="1"/>
  <c r="BT415" i="1"/>
  <c r="BF601" i="1"/>
  <c r="BT601" i="1"/>
  <c r="BF416" i="1"/>
  <c r="BT416" i="1"/>
  <c r="BF4" i="1"/>
  <c r="BT4" i="1"/>
  <c r="BF697" i="1"/>
  <c r="BT697" i="1"/>
  <c r="BF157" i="1"/>
  <c r="BT157" i="1"/>
  <c r="BF698" i="1"/>
  <c r="BT698" i="1"/>
  <c r="BF147" i="1"/>
  <c r="BT147" i="1"/>
  <c r="BF434" i="1"/>
  <c r="BT434" i="1"/>
  <c r="BF238" i="1"/>
  <c r="BT238" i="1"/>
  <c r="BF258" i="1"/>
  <c r="BT258" i="1"/>
  <c r="BF381" i="1"/>
  <c r="BT381" i="1"/>
  <c r="BF98" i="1"/>
  <c r="BT98" i="1"/>
  <c r="BF483" i="1"/>
  <c r="BT483" i="1"/>
  <c r="BF128" i="1"/>
  <c r="BT128" i="1"/>
  <c r="BF449" i="1"/>
  <c r="BT449" i="1"/>
  <c r="BF602" i="1"/>
  <c r="BT602" i="1"/>
  <c r="BF400" i="1"/>
  <c r="BT400" i="1"/>
  <c r="BF367" i="1"/>
  <c r="BT367" i="1"/>
  <c r="BF173" i="1"/>
  <c r="BT173" i="1"/>
  <c r="BF54" i="1"/>
  <c r="BT54" i="1"/>
  <c r="BF699" i="1"/>
  <c r="BT699" i="1"/>
  <c r="BF274" i="1"/>
  <c r="BT274" i="1"/>
  <c r="BF305" i="1"/>
  <c r="BT305" i="1"/>
  <c r="BF417" i="1"/>
  <c r="BT417" i="1"/>
  <c r="BF158" i="1"/>
  <c r="BT158" i="1"/>
  <c r="BF643" i="1"/>
  <c r="BT643" i="1"/>
  <c r="BF644" i="1"/>
  <c r="BT644" i="1"/>
  <c r="BF175" i="1"/>
  <c r="BT175" i="1"/>
  <c r="BF259" i="1"/>
  <c r="BT259" i="1"/>
  <c r="BF538" i="1"/>
  <c r="BT538" i="1"/>
  <c r="BF465" i="1"/>
  <c r="BT465" i="1"/>
  <c r="BF275" i="1"/>
  <c r="BT275" i="1"/>
  <c r="BF317" i="1"/>
  <c r="BT317" i="1"/>
  <c r="BF306" i="1"/>
  <c r="BT306" i="1"/>
  <c r="BF435" i="1"/>
  <c r="BT435" i="1"/>
  <c r="BF285" i="1"/>
  <c r="BT285" i="1"/>
  <c r="BF208" i="1"/>
  <c r="BT208" i="1"/>
  <c r="BF216" i="1"/>
  <c r="BT216" i="1"/>
  <c r="BF123" i="1"/>
  <c r="BT123" i="1"/>
  <c r="BF276" i="1"/>
  <c r="BT276" i="1"/>
  <c r="BF565" i="1"/>
  <c r="BT565" i="1"/>
  <c r="BF450" i="1"/>
  <c r="BT450" i="1"/>
  <c r="BF251" i="1"/>
  <c r="BT251" i="1"/>
  <c r="BF700" i="1"/>
  <c r="BT700" i="1"/>
  <c r="BF701" i="1"/>
  <c r="BT701" i="1"/>
  <c r="BF39" i="1"/>
  <c r="BT39" i="1"/>
  <c r="BF286" i="1"/>
  <c r="BT286" i="1"/>
  <c r="BF65" i="1"/>
  <c r="BT65" i="1"/>
  <c r="BF229" i="1"/>
  <c r="BT229" i="1"/>
  <c r="BF645" i="1"/>
  <c r="BT645" i="1"/>
  <c r="BF508" i="1"/>
  <c r="BT508" i="1"/>
  <c r="BF603" i="1"/>
  <c r="BT603" i="1"/>
  <c r="BF484" i="1"/>
  <c r="BT484" i="1"/>
  <c r="BF307" i="1"/>
  <c r="BT307" i="1"/>
  <c r="BF318" i="1"/>
  <c r="BT318" i="1"/>
  <c r="BF27" i="1"/>
  <c r="BT27" i="1"/>
  <c r="BF401" i="1"/>
  <c r="BT401" i="1"/>
  <c r="BF451" i="1"/>
  <c r="BT451" i="1"/>
  <c r="BF230" i="1"/>
  <c r="BT230" i="1"/>
  <c r="BF702" i="1"/>
  <c r="BT702" i="1"/>
  <c r="BF646" i="1"/>
  <c r="BT646" i="1"/>
  <c r="BF647" i="1"/>
  <c r="BT647" i="1"/>
  <c r="BF115" i="1"/>
  <c r="BT115" i="1"/>
  <c r="BF217" i="1"/>
  <c r="BT217" i="1"/>
  <c r="BF509" i="1"/>
  <c r="BT509" i="1"/>
  <c r="BF59" i="1"/>
  <c r="BT59" i="1"/>
  <c r="BF263" i="1"/>
  <c r="BT263" i="1"/>
  <c r="BF192" i="1"/>
  <c r="BT192" i="1"/>
  <c r="BF703" i="1"/>
  <c r="BT703" i="1"/>
  <c r="BF330" i="1"/>
  <c r="BT330" i="1"/>
  <c r="BF224" i="1"/>
  <c r="BT224" i="1"/>
  <c r="BF300" i="1"/>
  <c r="BT300" i="1"/>
  <c r="BF648" i="1"/>
  <c r="BT648" i="1"/>
  <c r="BF539" i="1"/>
  <c r="BT539" i="1"/>
  <c r="BF704" i="1"/>
  <c r="BT704" i="1"/>
  <c r="BF566" i="1"/>
  <c r="BT566" i="1"/>
  <c r="BF239" i="1"/>
  <c r="BT239" i="1"/>
  <c r="BF46" i="1"/>
  <c r="BT46" i="1"/>
  <c r="BF604" i="1"/>
  <c r="BT604" i="1"/>
  <c r="BF96" i="1"/>
  <c r="BT96" i="1"/>
  <c r="BF13" i="1"/>
  <c r="BT13" i="1"/>
  <c r="BF126" i="1"/>
  <c r="BT126" i="1"/>
  <c r="BF5" i="1"/>
  <c r="BT5" i="1"/>
  <c r="BF277" i="1"/>
  <c r="BT277" i="1"/>
  <c r="BF122" i="1"/>
  <c r="BT122" i="1"/>
  <c r="BF218" i="1"/>
  <c r="BT218" i="1"/>
  <c r="BF649" i="1"/>
  <c r="BT649" i="1"/>
  <c r="BF510" i="1"/>
  <c r="BT510" i="1"/>
  <c r="BF93" i="1"/>
  <c r="BT93" i="1"/>
  <c r="BF436" i="1"/>
  <c r="BT436" i="1"/>
  <c r="BF176" i="1"/>
  <c r="BT176" i="1"/>
  <c r="BF293" i="1"/>
  <c r="BT293" i="1"/>
  <c r="BF705" i="1"/>
  <c r="BT705" i="1"/>
  <c r="BF243" i="1"/>
  <c r="BT243" i="1"/>
  <c r="BT12" i="1"/>
  <c r="BF368" i="1"/>
  <c r="BT368" i="1"/>
  <c r="BF437" i="1"/>
  <c r="BT437" i="1"/>
  <c r="BF605" i="1"/>
  <c r="BT605" i="1"/>
  <c r="BF540" i="1"/>
  <c r="BT540" i="1"/>
  <c r="BT155" i="1"/>
  <c r="BF79" i="1"/>
  <c r="BT79" i="1"/>
  <c r="BF418" i="1"/>
  <c r="BT418" i="1"/>
  <c r="BF42" i="1"/>
  <c r="BT42" i="1"/>
  <c r="BF485" i="1"/>
  <c r="BT485" i="1"/>
  <c r="BF337" i="1"/>
  <c r="BT337" i="1"/>
  <c r="BF706" i="1"/>
  <c r="BT706" i="1"/>
  <c r="BF15" i="1"/>
  <c r="BT15" i="1"/>
  <c r="BF369" i="1"/>
  <c r="BT369" i="1"/>
  <c r="BF34" i="1"/>
  <c r="BT34" i="1"/>
  <c r="BF180" i="1"/>
  <c r="BT180" i="1"/>
  <c r="BF707" i="1"/>
  <c r="BT707" i="1"/>
  <c r="BF567" i="1"/>
  <c r="BT567" i="1"/>
  <c r="BF568" i="1"/>
  <c r="BT568" i="1"/>
  <c r="BF650" i="1"/>
  <c r="BT650" i="1"/>
  <c r="BF252" i="1"/>
  <c r="BT252" i="1"/>
  <c r="BF569" i="1"/>
  <c r="BT569" i="1"/>
  <c r="BF338" i="1"/>
  <c r="BT338" i="1"/>
  <c r="BF486" i="1"/>
  <c r="BT486" i="1"/>
  <c r="BF181" i="1"/>
  <c r="BT181" i="1"/>
  <c r="BF606" i="1"/>
  <c r="BT606" i="1"/>
  <c r="BF651" i="1"/>
  <c r="BT651" i="1"/>
  <c r="BF357" i="1"/>
  <c r="BT357" i="1"/>
  <c r="BF116" i="1"/>
  <c r="BT116" i="1"/>
  <c r="BF66" i="1"/>
  <c r="BT66" i="1"/>
  <c r="BF402" i="1"/>
  <c r="BT402" i="1"/>
  <c r="BF49" i="1"/>
  <c r="BT49" i="1"/>
  <c r="BF294" i="1"/>
  <c r="BT294" i="1"/>
  <c r="BF708" i="1"/>
  <c r="BT708" i="1"/>
  <c r="BF200" i="1"/>
  <c r="BT200" i="1"/>
  <c r="BF541" i="1"/>
  <c r="BT541" i="1"/>
  <c r="BF652" i="1"/>
  <c r="BT652" i="1"/>
  <c r="BF438" i="1"/>
  <c r="BT438" i="1"/>
  <c r="BF140" i="1"/>
  <c r="BT140" i="1"/>
  <c r="BF209" i="1"/>
  <c r="BT209" i="1"/>
  <c r="BF182" i="1"/>
  <c r="BT182" i="1"/>
  <c r="BF419" i="1"/>
  <c r="BT419" i="1"/>
  <c r="BF244" i="1"/>
  <c r="BT244" i="1"/>
  <c r="BF709" i="1"/>
  <c r="BT709" i="1"/>
  <c r="BF487" i="1"/>
  <c r="BT487" i="1"/>
  <c r="BF710" i="1"/>
  <c r="BT710" i="1"/>
  <c r="BF653" i="1"/>
  <c r="BT653" i="1"/>
  <c r="BF511" i="1"/>
  <c r="BT511" i="1"/>
  <c r="BF210" i="1"/>
  <c r="BT210" i="1"/>
  <c r="BT488" i="1"/>
  <c r="BF211" i="1"/>
  <c r="BT211" i="1"/>
  <c r="BF542" i="1"/>
  <c r="BT542" i="1"/>
  <c r="BF131" i="1"/>
  <c r="BT131" i="1"/>
  <c r="BF319" i="1"/>
  <c r="BT319" i="1"/>
  <c r="BF25" i="1"/>
  <c r="BT25" i="1"/>
  <c r="BF512" i="1"/>
  <c r="BT512" i="1"/>
  <c r="BF654" i="1"/>
  <c r="BT654" i="1"/>
  <c r="BF655" i="1"/>
  <c r="BT655" i="1"/>
  <c r="BF77" i="1"/>
  <c r="BT77" i="1"/>
  <c r="BF106" i="1"/>
  <c r="BT106" i="1"/>
  <c r="BT452" i="1"/>
  <c r="BF607" i="1"/>
  <c r="BT607" i="1"/>
  <c r="BF656" i="1"/>
  <c r="BT656" i="1"/>
  <c r="BF370" i="1"/>
  <c r="BT370" i="1"/>
  <c r="BF382" i="1"/>
  <c r="BT382" i="1"/>
  <c r="BF570" i="1"/>
  <c r="BT570" i="1"/>
  <c r="BF101" i="1"/>
  <c r="BT101" i="1"/>
  <c r="BF657" i="1"/>
  <c r="BT657" i="1"/>
  <c r="BF264" i="1"/>
  <c r="BT264" i="1"/>
  <c r="BF40" i="1"/>
  <c r="BT40" i="1"/>
  <c r="BF287" i="1"/>
  <c r="BT287" i="1"/>
  <c r="BF278" i="1"/>
  <c r="BT278" i="1"/>
  <c r="BF711" i="1"/>
  <c r="BT711" i="1"/>
  <c r="BF253" i="1"/>
  <c r="BT253" i="1"/>
  <c r="BF166" i="1"/>
  <c r="BT166" i="1"/>
  <c r="BF339" i="1"/>
  <c r="BT339" i="1"/>
  <c r="BF489" i="1"/>
  <c r="BT489" i="1"/>
  <c r="BF712" i="1"/>
  <c r="BT712" i="1"/>
  <c r="BF150" i="1"/>
  <c r="BT150" i="1"/>
  <c r="BF73" i="1"/>
  <c r="BT73" i="1"/>
  <c r="BF231" i="1"/>
  <c r="BT231" i="1"/>
  <c r="BF222" i="1"/>
  <c r="BT222" i="1"/>
  <c r="BF320" i="1"/>
  <c r="BT320" i="1"/>
  <c r="BF136" i="1"/>
  <c r="BT136" i="1"/>
  <c r="BF260" i="1"/>
  <c r="BT260" i="1"/>
  <c r="BF490" i="1"/>
  <c r="BT490" i="1"/>
  <c r="BF358" i="1"/>
  <c r="BT358" i="1"/>
  <c r="BF308" i="1"/>
  <c r="BT308" i="1"/>
  <c r="BF32" i="1"/>
  <c r="BT32" i="1"/>
  <c r="BF439" i="1"/>
  <c r="BT439" i="1"/>
  <c r="BF193" i="1"/>
  <c r="BT193" i="1"/>
  <c r="BF403" i="1"/>
  <c r="BT403" i="1"/>
  <c r="BF713" i="1"/>
  <c r="BT713" i="1"/>
  <c r="BF9" i="1"/>
  <c r="BT9" i="1"/>
  <c r="BF43" i="1"/>
  <c r="BT43" i="1"/>
  <c r="BF132" i="1"/>
  <c r="BT132" i="1"/>
  <c r="BF383" i="1"/>
  <c r="BT383" i="1"/>
  <c r="BF340" i="1"/>
  <c r="BT340" i="1"/>
  <c r="BF404" i="1"/>
  <c r="BT404" i="1"/>
  <c r="BF152" i="1"/>
  <c r="BT152" i="1"/>
  <c r="BF151" i="1"/>
  <c r="BT151" i="1"/>
  <c r="BF714" i="1"/>
  <c r="BT714" i="1"/>
  <c r="BF491" i="1"/>
  <c r="BT491" i="1"/>
  <c r="BF466" i="1"/>
  <c r="BT466" i="1"/>
  <c r="BF467" i="1"/>
  <c r="BT467" i="1"/>
  <c r="BF95" i="1"/>
  <c r="BT95" i="1"/>
  <c r="BF715" i="1"/>
  <c r="BT715" i="1"/>
  <c r="BF141" i="1"/>
  <c r="BT141" i="1"/>
  <c r="BF608" i="1"/>
  <c r="BT608" i="1"/>
  <c r="BF232" i="1"/>
  <c r="BT232" i="1"/>
  <c r="BF609" i="1"/>
  <c r="BT609" i="1"/>
  <c r="BF67" i="1"/>
  <c r="BT67" i="1"/>
  <c r="BF571" i="1"/>
  <c r="BT571" i="1"/>
  <c r="BF513" i="1"/>
  <c r="BT513" i="1"/>
  <c r="BF716" i="1"/>
  <c r="BT716" i="1"/>
  <c r="BF658" i="1"/>
  <c r="BT658" i="1"/>
  <c r="BF167" i="1"/>
  <c r="BT167" i="1"/>
  <c r="BF610" i="1"/>
  <c r="BT610" i="1"/>
  <c r="BF514" i="1"/>
  <c r="BT514" i="1"/>
  <c r="BF572" i="1"/>
  <c r="BT572" i="1"/>
  <c r="BF659" i="1"/>
  <c r="BT659" i="1"/>
  <c r="BT468" i="1"/>
  <c r="BF341" i="1"/>
  <c r="BT341" i="1"/>
  <c r="BF717" i="1"/>
  <c r="BT717" i="1"/>
  <c r="BF469" i="1"/>
  <c r="BT469" i="1"/>
  <c r="BF288" i="1"/>
  <c r="BT288" i="1"/>
  <c r="BF342" i="1"/>
  <c r="BT342" i="1"/>
  <c r="BF718" i="1"/>
  <c r="BT718" i="1"/>
  <c r="BF719" i="1"/>
  <c r="BT719" i="1"/>
  <c r="BF86" i="1"/>
  <c r="BT86" i="1"/>
  <c r="BF183" i="1"/>
  <c r="BT183" i="1"/>
  <c r="BF660" i="1"/>
  <c r="BT660" i="1"/>
  <c r="BF321" i="1"/>
  <c r="BT321" i="1"/>
  <c r="BF343" i="1"/>
  <c r="BT343" i="1"/>
  <c r="BF720" i="1"/>
  <c r="BT720" i="1"/>
  <c r="BF143" i="1"/>
  <c r="BT143" i="1"/>
  <c r="BF573" i="1"/>
  <c r="BT573" i="1"/>
  <c r="BF344" i="1"/>
  <c r="BT344" i="1"/>
  <c r="BF515" i="1"/>
  <c r="BT515" i="1"/>
  <c r="BF543" i="1"/>
  <c r="BT543" i="1"/>
  <c r="BF212" i="1"/>
  <c r="BT212" i="1"/>
  <c r="BF53" i="1"/>
  <c r="BT53" i="1"/>
  <c r="BF84" i="1"/>
  <c r="BT84" i="1"/>
  <c r="BF99" i="1"/>
  <c r="BT99" i="1"/>
  <c r="BF611" i="1"/>
  <c r="BT611" i="1"/>
  <c r="BF405" i="1"/>
  <c r="BT405" i="1"/>
  <c r="BF233" i="1"/>
  <c r="BT233" i="1"/>
  <c r="BT420" i="1"/>
  <c r="BF574" i="1"/>
  <c r="BT574" i="1"/>
  <c r="BF575" i="1"/>
  <c r="BT575" i="1"/>
  <c r="BF612" i="1"/>
  <c r="BT612" i="1"/>
  <c r="BF440" i="1"/>
  <c r="BT440" i="1"/>
  <c r="BF133" i="1"/>
  <c r="BT133" i="1"/>
  <c r="BF470" i="1"/>
  <c r="BT470" i="1"/>
  <c r="BF359" i="1"/>
  <c r="BT359" i="1"/>
  <c r="BF371" i="1"/>
  <c r="BT371" i="1"/>
  <c r="BF441" i="1"/>
  <c r="BT441" i="1"/>
  <c r="BF613" i="1"/>
  <c r="BT613" i="1"/>
  <c r="BF661" i="1"/>
  <c r="BT661" i="1"/>
  <c r="BF295" i="1"/>
  <c r="BT295" i="1"/>
  <c r="BF134" i="1"/>
  <c r="BT134" i="1"/>
  <c r="BF50" i="1"/>
  <c r="BT50" i="1"/>
  <c r="BF614" i="1"/>
  <c r="BT614" i="1"/>
  <c r="BF254" i="1"/>
  <c r="BT254" i="1"/>
  <c r="BF662" i="1"/>
  <c r="BT662" i="1"/>
  <c r="BF194" i="1"/>
  <c r="BT194" i="1"/>
  <c r="BF663" i="1"/>
  <c r="BT663" i="1"/>
  <c r="BT245" i="1"/>
  <c r="BF149" i="1"/>
  <c r="BT149" i="1"/>
  <c r="BF345" i="1"/>
  <c r="BT345" i="1"/>
  <c r="BF516" i="1"/>
  <c r="BT516" i="1"/>
  <c r="BF664" i="1"/>
  <c r="BT664" i="1"/>
  <c r="BF331" i="1"/>
  <c r="BT331" i="1"/>
  <c r="BT721" i="1"/>
  <c r="BF255" i="1"/>
  <c r="BT255" i="1"/>
  <c r="BF17" i="1"/>
  <c r="BT17" i="1"/>
  <c r="BF665" i="1"/>
  <c r="BT665" i="1"/>
  <c r="BF471" i="1"/>
  <c r="BT471" i="1"/>
  <c r="BF666" i="1"/>
  <c r="BT666" i="1"/>
  <c r="BF85" i="1"/>
  <c r="BT85" i="1"/>
  <c r="BF453" i="1"/>
  <c r="BT453" i="1"/>
  <c r="BF722" i="1"/>
  <c r="BT722" i="1"/>
  <c r="BF667" i="1"/>
  <c r="BT667" i="1"/>
  <c r="BF223" i="1"/>
  <c r="BT223" i="1"/>
  <c r="BF125" i="1"/>
  <c r="BT125" i="1"/>
  <c r="BF14" i="1"/>
  <c r="BT14" i="1"/>
  <c r="BF219" i="1"/>
  <c r="BT219" i="1"/>
  <c r="BF225" i="1"/>
  <c r="BT225" i="1"/>
  <c r="BF421" i="1"/>
  <c r="BT421" i="1"/>
  <c r="BF51" i="1"/>
  <c r="BT51" i="1"/>
  <c r="BF184" i="1"/>
  <c r="BT184" i="1"/>
  <c r="BF544" i="1"/>
  <c r="BT544" i="1"/>
  <c r="BT31" i="1"/>
  <c r="BF71" i="1"/>
  <c r="BT71" i="1"/>
  <c r="BF213" i="1"/>
  <c r="BT213" i="1"/>
  <c r="BF153" i="1"/>
  <c r="BT153" i="1"/>
  <c r="BF70" i="1"/>
  <c r="BT70" i="1"/>
  <c r="BT309" i="1"/>
  <c r="BF384" i="1"/>
  <c r="BT384" i="1"/>
  <c r="BF454" i="1"/>
  <c r="BT454" i="1"/>
  <c r="BF576" i="1"/>
  <c r="BT576" i="1"/>
  <c r="BF62" i="1"/>
  <c r="BT62" i="1"/>
  <c r="BF102" i="1"/>
  <c r="BT102" i="1"/>
  <c r="BF615" i="1"/>
  <c r="BT615" i="1"/>
  <c r="BT177" i="1"/>
  <c r="BF577" i="1"/>
  <c r="BT577" i="1"/>
  <c r="BF723" i="1"/>
  <c r="BT723" i="1"/>
  <c r="BF360" i="1"/>
  <c r="BT360" i="1"/>
  <c r="BF117" i="1"/>
  <c r="BT117" i="1"/>
  <c r="BF154" i="1"/>
  <c r="BT154" i="1"/>
  <c r="BF492" i="1"/>
  <c r="BT492" i="1"/>
  <c r="BF472" i="1"/>
  <c r="BT472" i="1"/>
  <c r="BF455" i="1"/>
  <c r="BT455" i="1"/>
  <c r="BF517" i="1"/>
  <c r="BT517" i="1"/>
  <c r="BF518" i="1"/>
  <c r="BT518" i="1"/>
  <c r="BF724" i="1"/>
  <c r="BT724" i="1"/>
  <c r="BF456" i="1"/>
  <c r="BT456" i="1"/>
  <c r="BF135" i="1"/>
  <c r="BT135" i="1"/>
  <c r="BF616" i="1"/>
  <c r="BT616" i="1"/>
  <c r="BF617" i="1"/>
  <c r="BT617" i="1"/>
  <c r="BF346" i="1"/>
  <c r="BT346" i="1"/>
  <c r="BF725" i="1"/>
  <c r="BT725" i="1"/>
  <c r="BF322" i="1"/>
  <c r="BT322" i="1"/>
  <c r="BF76" i="1"/>
  <c r="BT76" i="1"/>
  <c r="BF88" i="1"/>
  <c r="BT88" i="1"/>
  <c r="BF457" i="1"/>
  <c r="BT457" i="1"/>
  <c r="BF214" i="1"/>
  <c r="BT214" i="1"/>
  <c r="BF726" i="1"/>
  <c r="BT726" i="1"/>
  <c r="BF162" i="1"/>
  <c r="BT162" i="1"/>
  <c r="BF289" i="1"/>
  <c r="BT289" i="1"/>
  <c r="BF347" i="1"/>
  <c r="BT347" i="1"/>
  <c r="BF372" i="1"/>
  <c r="BT372" i="1"/>
  <c r="BF215" i="1"/>
  <c r="BT215" i="1"/>
  <c r="BF493" i="1"/>
  <c r="BT493" i="1"/>
  <c r="BF203" i="1"/>
  <c r="BT203" i="1"/>
  <c r="BF545" i="1"/>
  <c r="BT545" i="1"/>
  <c r="BF727" i="1"/>
  <c r="BT727" i="1"/>
  <c r="BF494" i="1"/>
  <c r="BT494" i="1"/>
  <c r="BF310" i="1"/>
  <c r="BT310" i="1"/>
  <c r="BF385" i="1"/>
  <c r="BT385" i="1"/>
  <c r="BF240" i="1"/>
  <c r="BT240" i="1"/>
  <c r="BF256" i="1"/>
  <c r="BT256" i="1"/>
  <c r="BF185" i="1"/>
  <c r="BT185" i="1"/>
  <c r="BF728" i="1"/>
  <c r="BT728" i="1"/>
  <c r="BF495" i="1"/>
  <c r="BT495" i="1"/>
  <c r="BF279" i="1"/>
  <c r="BT279" i="1"/>
  <c r="BF24" i="1"/>
  <c r="BT24" i="1"/>
  <c r="BF121" i="1"/>
  <c r="BT121" i="1"/>
  <c r="BF265" i="1"/>
  <c r="BT265" i="1"/>
  <c r="BF546" i="1"/>
  <c r="BT546" i="1"/>
  <c r="BF311" i="1"/>
  <c r="BT311" i="1"/>
  <c r="BF496" i="1"/>
  <c r="BT496" i="1"/>
  <c r="BF280" i="1"/>
  <c r="BT280" i="1"/>
  <c r="BF301" i="1"/>
  <c r="BT301" i="1"/>
  <c r="BF729" i="1"/>
  <c r="BT729" i="1"/>
  <c r="BT281" i="1"/>
  <c r="BF97" i="1"/>
  <c r="BT97" i="1"/>
  <c r="BF156" i="1"/>
  <c r="BT156" i="1"/>
  <c r="BF56" i="1"/>
  <c r="BT56" i="1"/>
  <c r="BF302" i="1"/>
  <c r="BT302" i="1"/>
  <c r="BF234" i="1"/>
  <c r="BT234" i="1"/>
  <c r="BF323" i="1"/>
  <c r="BT323" i="1"/>
  <c r="BF386" i="1"/>
  <c r="BT386" i="1"/>
  <c r="BF109" i="1"/>
  <c r="BT109" i="1"/>
  <c r="BF547" i="1"/>
  <c r="BT547" i="1"/>
  <c r="BF519" i="1"/>
  <c r="BT519" i="1"/>
  <c r="BF37" i="1"/>
  <c r="BT37" i="1"/>
  <c r="BF144" i="1"/>
  <c r="BT144" i="1"/>
  <c r="BF373" i="1"/>
  <c r="BT373" i="1"/>
  <c r="BF497" i="1"/>
  <c r="BT497" i="1"/>
  <c r="BF246" i="1"/>
  <c r="BT246" i="1"/>
  <c r="BF458" i="1"/>
  <c r="BT458" i="1"/>
  <c r="BF220" i="1"/>
  <c r="BT220" i="1"/>
  <c r="BF266" i="1"/>
  <c r="BT266" i="1"/>
  <c r="BF61" i="1"/>
  <c r="BT61" i="1"/>
  <c r="BF730" i="1"/>
  <c r="BT730" i="1"/>
  <c r="BF78" i="1"/>
  <c r="BT78" i="1"/>
  <c r="BF387" i="1"/>
  <c r="BT387" i="1"/>
  <c r="BF312" i="1"/>
  <c r="BT312" i="1"/>
  <c r="BF731" i="1"/>
  <c r="BT731" i="1"/>
  <c r="BF520" i="1"/>
  <c r="BT520" i="1"/>
  <c r="BF148" i="1"/>
  <c r="BT148" i="1"/>
  <c r="BF618" i="1"/>
  <c r="BT618" i="1"/>
  <c r="BF498" i="1"/>
  <c r="BT498" i="1"/>
  <c r="BF548" i="1"/>
  <c r="BT548" i="1"/>
  <c r="BF83" i="1"/>
  <c r="BT83" i="1"/>
  <c r="BF124" i="1"/>
  <c r="BT124" i="1"/>
  <c r="BF374" i="1"/>
  <c r="BT374" i="1"/>
  <c r="BF107" i="1"/>
  <c r="BT107" i="1"/>
  <c r="BF473" i="1"/>
  <c r="BT473" i="1"/>
  <c r="BF120" i="1"/>
  <c r="BT120" i="1"/>
  <c r="BF348" i="1"/>
  <c r="BT348" i="1"/>
  <c r="BF168" i="1"/>
  <c r="BT168" i="1"/>
  <c r="BF195" i="1"/>
  <c r="BT195" i="1"/>
  <c r="BF521" i="1"/>
  <c r="BT521" i="1"/>
  <c r="BF732" i="1"/>
  <c r="BT732" i="1"/>
  <c r="BF375" i="1"/>
  <c r="BT375" i="1"/>
  <c r="BF578" i="1"/>
  <c r="BT578" i="1"/>
  <c r="BF91" i="1"/>
  <c r="BT91" i="1"/>
  <c r="BF201" i="1"/>
  <c r="BT201" i="1"/>
  <c r="BF733" i="1"/>
  <c r="BT733" i="1"/>
  <c r="BF734" i="1"/>
  <c r="BT734" i="1"/>
  <c r="BF349" i="1"/>
  <c r="BT349" i="1"/>
  <c r="BF204" i="1"/>
  <c r="BT204" i="1"/>
  <c r="BF303" i="1"/>
  <c r="BT303" i="1"/>
  <c r="BF332" i="1"/>
  <c r="BT332" i="1"/>
  <c r="BF406" i="1"/>
  <c r="BT406" i="1"/>
  <c r="BF388" i="1"/>
  <c r="BT388" i="1"/>
  <c r="BF57" i="1"/>
  <c r="BT57" i="1"/>
  <c r="BF257" i="1"/>
  <c r="BT257" i="1"/>
  <c r="BF267" i="1"/>
  <c r="BT267" i="1"/>
  <c r="BF137" i="1"/>
  <c r="BT137" i="1"/>
  <c r="BF296" i="1"/>
  <c r="BT296" i="1"/>
  <c r="BF619" i="1"/>
  <c r="BT619" i="1"/>
  <c r="BF10" i="1"/>
  <c r="BT10" i="1"/>
  <c r="BF16" i="1"/>
  <c r="BT16" i="1"/>
  <c r="BF522" i="1"/>
  <c r="BT522" i="1"/>
  <c r="BF735" i="1"/>
  <c r="BT735" i="1"/>
  <c r="BT579" i="1"/>
  <c r="BF324" i="1"/>
  <c r="BT324" i="1"/>
</calcChain>
</file>

<file path=xl/sharedStrings.xml><?xml version="1.0" encoding="utf-8"?>
<sst xmlns="http://schemas.openxmlformats.org/spreadsheetml/2006/main" count="52720" uniqueCount="13369">
  <si>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</si>
  <si>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</si>
  <si>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</si>
  <si>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</si>
  <si>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</si>
  <si>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</si>
  <si>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</si>
  <si>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</si>
  <si>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</si>
  <si>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</si>
  <si>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</si>
  <si>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</si>
  <si>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</si>
  <si>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</si>
  <si>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</si>
  <si>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</si>
  <si>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</si>
  <si>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</si>
  <si>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</si>
  <si>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</si>
  <si>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</si>
  <si>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</si>
  <si>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</si>
  <si>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</si>
  <si>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</si>
  <si>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</si>
  <si>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</si>
  <si>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</si>
  <si>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</si>
  <si>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</si>
  <si>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</si>
  <si>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</si>
  <si>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</si>
  <si>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</si>
  <si>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</si>
  <si>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</si>
  <si>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</si>
  <si>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</si>
  <si>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</si>
  <si>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</si>
  <si>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</si>
  <si>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</si>
  <si>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</si>
  <si>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</si>
  <si>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</si>
  <si>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</si>
  <si>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</si>
  <si>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</si>
  <si>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</si>
  <si>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</si>
  <si>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</si>
  <si>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</si>
  <si>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</si>
  <si>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</si>
  <si>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</si>
  <si>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</si>
  <si>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</si>
  <si>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</si>
  <si>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</si>
  <si>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</si>
  <si>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</si>
  <si>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</si>
  <si>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</si>
  <si>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</si>
  <si>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</si>
  <si>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</si>
  <si>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</si>
  <si>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</si>
  <si>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</si>
  <si>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</si>
  <si>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</si>
  <si>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</si>
  <si>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</si>
  <si>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Antonopoulos, D; Tsilioni, I; Tsiara, S; Moustaka, E; Ladias, S; Perlepe, G; Theoharides, TC; Gourgoulianis, KI; Balatsos, NAA</t>
  </si>
  <si>
    <t/>
  </si>
  <si>
    <t>Antonopoulos, Dionysios; Tsilioni, Irene; Tsiara, Sophia; Moustaka, Eirini; Ladias, Spyridon; Perlepe, Garyfallia; Theoharides, Theoharis C.; Gourgoulianis, Konstantinos, I; Balatsos, Nikolaos A. A.</t>
  </si>
  <si>
    <t>ExoProK: A Practical Method for the Isolation of Small Extracellular Vesicles from Pleural Effusions</t>
  </si>
  <si>
    <t>METHODS AND PROTOCOLS</t>
  </si>
  <si>
    <t>Article</t>
  </si>
  <si>
    <t>extracellular vesicles; exosomes; pleural effusion; proteinase K; RNA biomarkers</t>
  </si>
  <si>
    <t>LUNG-CANCER; EXOSOMES; EXPRESSION; STABILITY</t>
  </si>
  <si>
    <t>Extracellular vesicles (EVs) are cell-secreted, lipid membrane-enclosed nanoparticles without functional nucleus. EV is a general term that includes various subtypes of particles named microvesicles, microparticles, ectosomes or exosomes. EVs transfer RNA, DNA and protein cargo between proximal and distant cells and tissues, thus constituting an organism-wide signal transduction network. Pathological tissues secrete EVs that differ in their cargo composition compared to their healthy counterparts. The detection of biomarkers in EVs from biological fluids may aid the diagnosis of disease and/or monitor its progression in a minimally invasive manner. Among biological fluids, pleural effusions (PEs) are integrated to clinical practice, as they accompany a wide variety of lung disorders. Due to the proximity with the pleura and the lungs, PEs are expected to be especially enriched in EVs that originate from diseased tissues. However, PEs are among the least studied biofluids regarding EV-specialized isolation methods and related biomarkers. Herein, we describe a practical EV isolation method from PEs for the screening of EV RNA biomarkers in clinical routine. It is based on a Proteinase K treatment step to digest contaminants prior to standard polyethylene-glycol precipitation. The efficiency of the method was confirmed by transmission electron microscopy, nanoparticle tracking analysis and Western blot. The reliability and sensitivity of the method towards the detection of EV-enriched RNA biomarkers from multiple PEs was also demonstrated.</t>
  </si>
  <si>
    <t>[Antonopoulos, Dionysios; Tsiara, Sophia; Moustaka, Eirini; Balatsos, Nikolaos A. A.] Univ Thessaly, Dept Biochem &amp; Biotechnol, Larisa 41500, Greece; [Tsilioni, Irene; Theoharides, Theoharis C.] Tufts Univ, Dept Immunol, Sch Med, 136 Harrison Ave,Suite J304, Boston, MA 02111 USA; [Ladias, Spyridon; Perlepe, Garyfallia; Gourgoulianis, Konstantinos, I] Univ Thessaly, Fac Med, Resp Med Dept, Viopolis 41110, Larissa, Greece</t>
  </si>
  <si>
    <t>University of Thessaly; Tufts University</t>
  </si>
  <si>
    <t>Balatsos, NAA (corresponding author), Univ Thessaly, Dept Biochem &amp; Biotechnol, Larisa 41500, Greece.;Gourgoulianis, KI (corresponding author), Univ Thessaly, Fac Med, Resp Med Dept, Viopolis 41110, Larissa, Greece.</t>
  </si>
  <si>
    <t>diadonop@uth.gr; Eirini.Tsilioni@tufts.edu; stsiara@bio.uth.gr; moustaka.renia@gmail.com; spyrosladias@yahoo.gr; perlepef19@gmail.com; theoharis.theoharides@tufts.edu; kgourg@med.uth.gr; balatsos@bio.uth.gr</t>
  </si>
  <si>
    <t>GOURGOULIANIS, KONSTANTINOS I/0000-0001-9541-1010</t>
  </si>
  <si>
    <t>2409-9279</t>
  </si>
  <si>
    <t>JUN</t>
  </si>
  <si>
    <t>10.3390/mps4020031</t>
  </si>
  <si>
    <t>Biochemical Research Methods</t>
  </si>
  <si>
    <t>Emerging Sources Citation Index (ESCI)</t>
  </si>
  <si>
    <t>Biochemistry &amp; Molecular Biology</t>
  </si>
  <si>
    <t>2022-08-19</t>
  </si>
  <si>
    <t>WOS:000668172100001</t>
  </si>
  <si>
    <t>Lee, SE; Park, H; Hur, JY; Kim, HJ; Kim, IA; Kim, WS; Lee, KY</t>
  </si>
  <si>
    <t>Lee, Seung Eun; Park, Ha Young; Hur, Jae Young; Kim, Hee Joung; Kim, In Ae; Kim, Wan Seop; Lee, Kye Young</t>
  </si>
  <si>
    <t>Genomic profiling of extracellular vesicle-derived DNA from bronchoalveolar lavage fluid of patients with lung adenocarcinoma</t>
  </si>
  <si>
    <t>TRANSLATIONAL LUNG CANCER RESEARCH</t>
  </si>
  <si>
    <t>Extracellular vesicles (EV); bronchoalveolar lavage fluid (BALF); liquid biopsy; next-generation sequencing (NGS); non-small cell lung cancer (NSCLC)</t>
  </si>
  <si>
    <t>GENETIC-VARIATION; CANCER; EXOSOMES; IDENTIFICATION; MUTATIONS; KRAS</t>
  </si>
  <si>
    <t>Background: Extracellular vesicles (EVs) are membrane-bound and nanometer-sized particles released from most types of cells, containing double-stranded DNA reflecting mutational status of the parental tumor cells. Furthermore, epidermal growth factor receptor (EGFR) genotyping using EV-derived DNA (EV DNA) in bronchoalveolar lavage fluid (BALF) showed almost 100% sensitivity in patients with advanced non-small cell lung cancer (NSCLC). Methods: We assessed the technical performance of DNA derived from BALF-EV (BALF EV DNA) in targeted next-generation sequencing (NGS) for detection and quantification of mutations compared with the matching tissue DNA in 20 lung adenocarcinomas. Results: DNA yields, tumor purity, and depth of coverage were higher using the tissue DNA than using the BALF EV DNA. However, estimated library size was not significantly different between the two samples, and BALF EV DNA yielded longer fragments than tissue DNA. Overall mutation concordance between the two samples were 56% for nonsynonymous somatic mutations and increased to 81% for clinically significant mutations. By-variant sensitivity for clinically significant somatic mutations increased from 62% to 83% in the NGS of BALF EV DNA. Allele frequencies of EGFR and TP53 were higher in tissue DNA (10-25%) than in BALF EV DNA (&lt;5%). Tumor mutation burden of BALF EV DNA correlated with that of tissue DNA. Conclusions: Our findings demonstrate, for the first time, that BALF EV DNA in patients with NSCLC can be a reliable DNA source for targeted NGS for the identification of actionable genetic alterations and that this approach has high clinical feasibility and utility.</t>
  </si>
  <si>
    <t>[Lee, Seung Eun; Hur, Jae Young; Kim, Wan Seop] Konkuk Univ, Dept Pathol, Sch Med, Seoul, South Korea; [Park, Ha Young] Inje Univ, Busan Paik Hosp, Dept Pathol, Coll Med, Gimhae, South Korea; [Hur, Jae Young; Kim, Hee Joung; Kim, In Ae; Lee, Kye Young] Konkuk Univ, Precis Med Lung Canc Ctr, Med Ctr, 120-1 Hwayang Dong, Seoul 05030, South Korea; [Kim, Hee Joung; Kim, In Ae; Lee, Kye Young] Konkuk Univ, Dept Internal Med, Sch Med, Seoul, South Korea</t>
  </si>
  <si>
    <t>Konkuk University; Konkuk University Medical Center; Inje University; Konkuk University; Konkuk University Medical Center; Konkuk University; Konkuk University Medical Center</t>
  </si>
  <si>
    <t>Lee, KY (corresponding author), Konkuk Univ, Precis Med Lung Canc Ctr, Med Ctr, 120-1 Hwayang Dong, Seoul 05030, South Korea.;Lee, KY (corresponding author), Konkuk Univ, Dept Pulm Med, Sch Med, 120-1 Hwayang Dong, Seoul 05030, South Korea.</t>
  </si>
  <si>
    <t>kyleemd@kuh.ac.kr</t>
  </si>
  <si>
    <t>2218-6751</t>
  </si>
  <si>
    <t>2226-4477</t>
  </si>
  <si>
    <t>JAN</t>
  </si>
  <si>
    <t>+</t>
  </si>
  <si>
    <t>10.21037/tlcr-20-888</t>
  </si>
  <si>
    <t>Oncology; Respiratory System</t>
  </si>
  <si>
    <t>Science Citation Index Expanded (SCI-EXPANDED)</t>
  </si>
  <si>
    <t>WOS:000723882000012</t>
  </si>
  <si>
    <t>Grigor'eva, AE; Tamkovich, SN; Eremina, AV; Tupikin, AE; Kabilov, MR; Chernykh, VV; Vlassov, VV; Laktionov, PP; Ryabchikova, EI</t>
  </si>
  <si>
    <t>Grigor'eva, A. E.; Tamkovich, S. N.; Eremina, A. V.; Tupikin, A. E.; Kabilov, M. R.; Chernykh, V. V.; Vlassov, V. V.; Laktionov, P. P.; Ryabchikova, E. I.</t>
  </si>
  <si>
    <t>Exosomes in Tears of Healthy Individuals: Isolation, Identification, and Characterization</t>
  </si>
  <si>
    <t>BIOCHEMISTRY MOSCOW-SUPPLEMENT SERIES B-BIOMEDICAL CHEMISTRY</t>
  </si>
  <si>
    <t>tears; electron microscopy; extracellular vesicles; exosomes; DNA</t>
  </si>
  <si>
    <t>EXTRACELLULAR VESICLES; CIRCULATING DNA; CANCER</t>
  </si>
  <si>
    <t>Exosomes represent a sort of extracellular vesicles, which transfer molecular signals in the body and contain markers of the exosome-producing cell. This study was aimed at search of exosomes in the tears of healthy humans, validation of their nature and examination of their morphological and molecular-biological characteristics. Samples of the tears individually collected from 24 healthy donors (aged 45-60 years) were centrifuged at 20000 g for 15 min to pellet cell debris. The supernatants were examined in an electron microscope using negative staining and were also used for isolation and purification of exosomes by filtration (100 nm pore-size) and double ultracentrifugation (90 min at 100000 g, 4 degrees C). Resultant pellets were investigated by electron microscopy and immunolabeling, RNA and DNA were isolated and their sizes were determined by capillary electrophoresis, concentration and localization of nucleic acids in the isolated exosomes were studied. DNA sequencing was performed using MiSeq (Illumina, USA), data were analyzed using CLC GW 7.5 (Qiagen, USA). Sequences were mapped on human genome (hg19). Supernatants of the tears contained cell debris, spherical microparticles (20-40 nm), and vesicles; some of the vesicles had morphology and sizes corresponding to exosomes. The pellets obtained after ultracentrifugation of tears contained microparticles (17%), spherical and cup-shaped vesicles (40-100 nm, 83%), which were positive for CD63, CD9, and CD24 receptors (specific markers of exosomes). The study revealed high concentrations of exosomes in human tears; these exosomes contained both RNA (of less than 200 nucleotides in size) and DNA (of 3-9 kb in size). DNA sequencing demonstrated that about 92% of the reads was mapped to human genome.</t>
  </si>
  <si>
    <t>[Grigor'eva, A. E.; Tamkovich, S. N.; Tupikin, A. E.; Kabilov, M. R.; Vlassov, V. V.; Laktionov, P. P.; Ryabchikova, E. I.] Russian Acad Sci, Siberian Branch, ICBFM, Pr Lavrenteva 8, Novosibirsk 630090, Russia; [Eremina, A. V.; Chernykh, V. V.] Fyodorov Eye Microsurg Complex, Novosibirsk Branch, Novosibirsk, Russia; [Tamkovich, S. N.] Novosibirsk State Univ, Novosibirsk, Russia</t>
  </si>
  <si>
    <t>Institute of Chemical Biology &amp; Fundamental Medicine, Siberian Branch of the RAS; Russian Academy of Sciences; Novosibirsk State University</t>
  </si>
  <si>
    <t>Ryabchikova, EI (corresponding author), Russian Acad Sci, Siberian Branch, ICBFM, Pr Lavrenteva 8, Novosibirsk 630090, Russia.</t>
  </si>
  <si>
    <t>lenryab@yandex.ru</t>
  </si>
  <si>
    <t>Tupikin, Alexey E/G-1660-2015; Kabilov, Marsel R./B-6669-2013; Chernykh, Valery/AAH-6121-2020; Ryabchikova, Elena/G-3089-2013; Tupikin, Alexey/AAE-9025-2021; Trunov, Aleksandr/R-7867-2019; Grigor’eva, Alina/I-3881-2014; Vlassov, Valentin/F-4720-2013; Tamkovich, Svetlana/G-9790-2013</t>
  </si>
  <si>
    <t>Tupikin, Alexey E/0000-0002-8194-0322; Kabilov, Marsel R./0000-0003-2777-0833; Ryabchikova, Elena/0000-0003-4714-1524; Tupikin, Alexey/0000-0002-8194-0322; Trunov, Aleksandr/0000-0002-7592-8984; Vlassov, Valentin/0000-0003-2845-2992; Grigor'eva, Alina/0000-0001-9853-223X; Tamkovich, Svetlana/0000-0001-7774-943X</t>
  </si>
  <si>
    <t>1990-7508</t>
  </si>
  <si>
    <t>1990-7516</t>
  </si>
  <si>
    <t>APR</t>
  </si>
  <si>
    <t>10.1134/S1990750816020049</t>
  </si>
  <si>
    <t>WOS:000383051100008</t>
  </si>
  <si>
    <t>Lee, JS; Hur, JY; Kim, IA; Kim, HJ; Choi, CM; Lee, JC; Kim, WS; Lee, KY</t>
  </si>
  <si>
    <t>Lee, Jong Sik; Hur, Jae Young; Kim, In Ae; Kim, Hee Joung; Choi, Chang Min; Lee, Jae Chol; Kim, Wan Seop; Lee, Kye Young</t>
  </si>
  <si>
    <t>Liquid biopsy using the supernatant of a pleural effusion for EGFR genotyping in pulmonary adenocarcinoma patients: a comparison between cell-free DNA and extracellular vesicle-derived DNA</t>
  </si>
  <si>
    <t>BMC CANCER</t>
  </si>
  <si>
    <t>Pleural effusion; Pulmonary adenocarcinoma; EGFR mutation; Extracellular vesicles; Liquid biopsy</t>
  </si>
  <si>
    <t>CIRCULATING TUMOR DNA; DOUBLE-STRANDED DNA; LUNG-CANCER; MUTATION; EXOSOMES; BLOOD</t>
  </si>
  <si>
    <t>BackgroundEGFR genotyping in pulmonary adenocarcinoma patients who develop pleural effusions is mostly performed using cytology or cell block slides with low sensitivity. Liquid biopsy using the supernatant of pleural effusions may be more effective because they contain many components released by cancer cells. Extracellular vesicles (EVs) are known to carry oncogenic double-stranded DNA that is considered a notable biomarker. Here, we investigate the efficiency of liquid biopsy using cell-free DNA (cfDNA) and extracellular vesicle-derived DNA (EV-derived DNA) from the supernatant of pleural effusions for EGFR genotyping in patients with pulmonary adenocarcinoma.MethodsFifty pleural effusion samples from patients with pulmonary adenocarcinoma were evaluated. The supernatant, after removing the cell pellet by centrifugation, was used for liquid biopsy, and EVs were isolated from the pleural effusion by ultracentrifugation. EV-derived DNA and cfDNA were extracted separately, and EGFR genotyping was performed by the PNA clamping method.ResultsAmong 32 patients who were EGFR-tyrosine kinase inhibitor (TKI) naive with a known tissue EGFR genotype, liquid biopsy using EV-derived DNA from the pleural effusion supernatant showed 100% matching results with tissue EGFR genotyping in 19 EGFR mutant cases and detected three additional EGFR mutations in patients with wild-type (WT) tissue. Liquid biopsy using cfDNA from pleural effusion supernatants missed two cases of tissue-based EGFR mutations and found two additional EGFR mutation cases. In 18 patients who acquired resistance to EGFR-TKI, EGFR genotyping using EV-derived DNA from the pleural effusion supernatant detected the T790M mutation in 13 of 18 (72.2%) patients, and this mutation was detected in 11 (61.1%) patients using cfDNA. By contrast, only three patients were found to present the T790M mutation when using cell block or cytology slides.ConclusionsLiquid biopsy using the supernatant of pleural effusions showed significantly improved results for EGFR genotyping compared to those using conventional cell block or cytology samples. Liquid biopsy using EV-derived DNA is promising for EGFR genotyping, including T790M detection in pulmonary adenocarcinoma patients who develop pleural effusions.</t>
  </si>
  <si>
    <t>[Lee, Jong Sik; Hur, Jae Young; Kim, In Ae; Kim, Hee Joung; Lee, Kye Young] Konkuk Univ, Sch Med, Med Ctr &amp; Med, Lung Canc Ctr,Dept Pulm, 120-1 Hwayang Dong, Seoul 05030, South Korea; [Kim, Hee Joung; Lee, Kye Young] Konkuk Univ, Sch Med, Dept Pulm Med, Seoul, South Korea; [Hur, Jae Young; Kim, Wan Seop] Konkuk Univ, Sch Med, Dept Pathol, Seoul, South Korea; [Choi, Chang Min; Lee, Jae Chol] Univ Ulsan, Coll Med, Asan Med Ctr, Dept Pulm &amp; Crit Care Med, Seoul, South Korea; [Choi, Chang Min; Lee, Jae Chol] Univ Ulsan, Coll Med, Asan Med Ctr, Dept Oncol, Seoul, South Korea</t>
  </si>
  <si>
    <t>Konkuk University; Konkuk University Medical Center; Konkuk University; Konkuk University Medical Center; Konkuk University; Konkuk University Medical Center; University of Ulsan; Asan Medical Center; University of Ulsan; Asan Medical Center</t>
  </si>
  <si>
    <t>Lee, KY (corresponding author), Konkuk Univ, Sch Med, Med Ctr &amp; Med, Lung Canc Ctr,Dept Pulm, 120-1 Hwayang Dong, Seoul 05030, South Korea.;Lee, KY (corresponding author), Konkuk Univ, Sch Med, Dept Pulm Med, Seoul, South Korea.</t>
  </si>
  <si>
    <t>LEE, KYE YOUNG/0000-0003-4687-5593</t>
  </si>
  <si>
    <t>1471-2407</t>
  </si>
  <si>
    <t>DEC 10</t>
  </si>
  <si>
    <t>10.1186/s12885-018-5138-3</t>
  </si>
  <si>
    <t>Oncology</t>
  </si>
  <si>
    <t>WOS:000452726600006</t>
  </si>
  <si>
    <t>Kim, IA; Hur, JY; Kim, HJ; Kim, WS; Lee, KY</t>
  </si>
  <si>
    <t>Kim, In Ae; Hur, Jae Young; Kim, Hee Joung; Kim, Wan Seop; Lee, Kye Young</t>
  </si>
  <si>
    <t>Extracellular Vesicle-Based Bronchoalveolar Lavage Fluid Liquid Biopsy for EGFR Mutation Testing in Advanced Non-Squamous NSCLC</t>
  </si>
  <si>
    <t>CANCERS</t>
  </si>
  <si>
    <t>bronchoalveolar lavage (BAL); liquid biopsy; extracellular vesicles; EGFR mutation testing; NSCLC</t>
  </si>
  <si>
    <t>CELL-FREE DNA; LUNG-CANCER; 1ST-LINE TREATMENT; OPEN-LABEL; SPECIMENS; ERLOTINIB; EXOSOMES; OUTCOMES</t>
  </si>
  <si>
    <t>Simple Summary Tissue biopsy is the gold standard for molecular genotyping in lung cancer. However, obtaining tumor tissue is challenging due to its invasiveness, inadequate amount of tissue, or complications. To overcome the limitations of tissue biopsy, plasma liquid biopsy using cfDNA has been investigated extensively; however, its low sensitivity limits the clinical application. Therefore, we used the tumor-specific DNA of extracellular vesicles (EVs) in bronchoalveolar lavage fluid (BALF) as DNA source for EGFR genotyping. As a result, we demonstrated that EV-based BALF EGFR testing in advanced lung NSCLC is a highly accurate rapid method overcoming low sensitivity of plasma cfDNA-based EGFR genotyping. It can be used as an adjuvant or alternative method for lung biopsy in cases where obtaining an adequate amount of tissue is difficult. To overcome the limitations of the tissue biopsy and plasma cfDNA liquid biopsy, we performed the EV-based BALF liquid biopsy of 224 newly diagnosed stage III-IV NSCLC patients and compared it with tissue genotyping and 110 plasma liquid biopsies. Isolation of EVs from BALF was performed by ultracentrifugation. EGFR genotyping was performed through peptide nucleic acid clamping-assisted fluorescence melting curve analysis. Compared with tissue-based genotyping, BALF liquid biopsy demonstrated a sensitivity, specificity, and concordance rates of 97.8%, 96.9%, and 97.7%, respectively. The performance of BALF liquid biopsy was almost identical to that of standard tissue-based genotyping. In contrast, plasma cfDNA-based liquid biopsy (n = 110) demonstrated sensitivity, specificity, and concordance rates of 48.5%, 86.3%, and 63.6%, respectively. The mean turn-around time of BALF liquid biopsy was significantly shorter (2.6 days) than that of tissue-based genotyping (13.9 days; p &lt; 0.001). Therefore, the use of EV-based BALF shortens the time for confirmation of EGFR mutation status for starting EGFR-TKI treatment and can hence potentially improve clinical outcomes. As a result, we suggest that EV-based BALF EGFR testing in advanced lung NSCLC is a highly accurate rapid method and can be used as an alternative method for lung tissue biopsy.</t>
  </si>
  <si>
    <t>[Kim, In Ae; Hur, Jae Young; Kim, Hee Joung; Kim, Wan Seop; Lee, Kye Young] Konkuk Univ, Precis Med Lung Canc Ctr, Med Ctr, Seoul 05030, South Korea; [Hur, Jae Young; Kim, Wan Seop] Konkuk Univ, Dept Pulm Med, Sch Med, Seoul 05030, South Korea; [Kim, Hee Joung; Lee, Kye Young] Konkuk Univ, Dept Pathol, Sch Med, Seoul 05030, South Korea; [Lee, Kye Young] Exosignal Inc, Seoul 05030, South Korea</t>
  </si>
  <si>
    <t>Konkuk University; Konkuk University Medical Center; Konkuk University; Konkuk University Medical Center; Konkuk University; Konkuk University Medical Center</t>
  </si>
  <si>
    <t>Lee, KY (corresponding author), Konkuk Univ, Precis Med Lung Canc Ctr, Med Ctr, Seoul 05030, South Korea.;Lee, KY (corresponding author), Konkuk Univ, Dept Pathol, Sch Med, Seoul 05030, South Korea.;Lee, KY (corresponding author), Exosignal Inc, Seoul 05030, South Korea.</t>
  </si>
  <si>
    <t>20180618@kuh.ac.kr; 20160475@kuh.ac.kr; hjkim@kuh.ac.kr; wskim@kuh.ac.kr; kyleemd@kuh.ac.kr</t>
  </si>
  <si>
    <t>Kim, In Ae/0000-0002-8994-2891</t>
  </si>
  <si>
    <t>2072-6694</t>
  </si>
  <si>
    <t>10.3390/cancers14112744</t>
  </si>
  <si>
    <t>WOS:000808941200001</t>
  </si>
  <si>
    <t>Hur, JY; Lee, JS; Kim, IA; Kim, HJ; Kim, WS; Lee, KY</t>
  </si>
  <si>
    <t>Hur, Jae Young; Lee, Jong Sik; Kim, In Ae; Kim, Hee Joung; Kim, Wan Seop; Lee, Kye Young</t>
  </si>
  <si>
    <t>Extracellular vesicle-based EGFR genotyping in bronchoalveolar lavage fluid from treatment-naive non-small cell lung cancer patients</t>
  </si>
  <si>
    <t>Extracellular vesicles (EV); bronchoalveolar lavage fluid (BALF); liquid biopsy; EGFR genotyping; non-small cell lung cancer (NSCLC)</t>
  </si>
  <si>
    <t>LIQUID BIOPSIES; DNA; MUTATIONS; EXOSOMES; FEATURES; KRAS</t>
  </si>
  <si>
    <t>Background: Extracellular vesicles (EV) have been proven to contain double-stranded DNA reflecting the mutational status of the parental tumor cells in non-small cell lung cancer (NSCLC), which can be translated into clinically useful EV-based liquid biopsy for Epidermal growth factor receptor (EGFR) genotyping using bronchoalveolar lavage fluid (BALF) obtained from tumor site. Methods: Patients subjected for an initial lung cancer work-up underwent bronchoscopy and BALE was obtained from tumor site. After isolating EVs from BALF by ultracentrifugation, EV-derived DNA (EV DNA) was extracted for subsequent EGFR genotyping performed through peptide nucleic acid (PNA)-mediated Real-Time PCR. The sensitivity, specificity, and concordance rate of BALF EV-based EGFR genotyping were calculated in comparison to tissue genotyping. Results: The average sensitivity and specificity of BALF EV-based EGFR genotyping were 76% and 87%, respectively, while the sensitivity significantly increased as the stage progressed. Especially, in stage IV, BALF EV-based EGFR typing identified all tissue-proven EGFR mutant cases (n=31) and detected 6 additional mutant cases. The concordance rate was 79% in stage I, 100% in stage II, 74% in stage III, and 92% in stage IV. As TNM stage advanced, especially in the presence of metastasis, concordance rate significantly increased (P&lt;0.05). Conclusions: The use of BALE for the collection of EV DNA in lung cancer patients resulted in a highly accurate diagnosis. The establishment of a fast and reliable method to identify target genes using EV DNA illustrated that it can overcome the problems of low sensitivity and instability in using cell-free DNA (cfDNA).</t>
  </si>
  <si>
    <t>[Hur, Jae Young; Lee, Jong Sik; Kim, In Ae; Kim, Hee Joung; Lee, Kye Young] Konkuk Univ, Med Ctr, Precis Med Lung Canc Ctr, 120-1 Neungdong Ro, Seoul 05030, South Korea; [Hur, Jae Young; Kim, Wan Seop] Konkuk Univ, Sch Med, Dept Pathol, Seoul, South Korea; [Kim, Hee Joung; Lee, Kye Young] Konkuk Univ, Dept Pulm Med, Sch Med, 120-1 Neungdong Ro, Seoul 05030, South Korea</t>
  </si>
  <si>
    <t>Lee, KY (corresponding author), Konkuk Univ, Med Ctr, Precis Med Lung Canc Ctr, 120-1 Neungdong Ro, Seoul 05030, South Korea.;Lee, KY (corresponding author), Konkuk Univ, Dept Pulm Med, Sch Med, 120-1 Neungdong Ro, Seoul 05030, South Korea.</t>
  </si>
  <si>
    <t>DEC</t>
  </si>
  <si>
    <t>10.21037/tlcr.2019.12.16</t>
  </si>
  <si>
    <t>WOS:000505217600030</t>
  </si>
  <si>
    <t>Hur, JY; Kim, HJ; Lee, JS; Choi, CM; Lee, JC; Jung, MK; Pack, CG; Lee, KY</t>
  </si>
  <si>
    <t>Hur, Jae Young; Kim, Hee Joung; Lee, Jong Sik; Choi, Chang-Min; Lee, Jae Cheol; Jung, Min Kyo; Pack, Chan Gi; Lee, Kye Young</t>
  </si>
  <si>
    <t>Extracellular vesicle-derived DNA for performing EGFR genotyping of NSCLC patients</t>
  </si>
  <si>
    <t>MOLECULAR CANCER</t>
  </si>
  <si>
    <t>Liquid biopsy; Bronchoalveolar lavage fluid; Extracellular vesicles; EGFR mutant DNA; Non-small cell lung cancer</t>
  </si>
  <si>
    <t>PANCREATIC-CANCER; LUNG-CANCER; TUMOR-DNA; EXOSOMES; PLASMA; KRAS</t>
  </si>
  <si>
    <t>Tumor cells shed an abundance of extracellular vesicles (EVs) to body fluids containing bioactive molecules including DNA, RNA, and protein. Investigations in the field of tumor-derived EVs open a new horizon in understanding cancer biology and its potential as cancer biomarkers as well as platforms for personalized medicine. This study demonstrates that successfully isolated EVs from plasma and bronchoalveolar lavage fluid (BALF) of non-small cell lung cancer (NSCLC) patients contain DNA that can be used for EGFR genotyping through liquid biopsy. In both plasma and BALF samples, liquid biopsy results using EV DNA show higher accordance with conventional tissue biopsy compared to the liquid biopsy of cfDNA. Especially, liquid biopsy with BALF EV DNA is tissue-specific and extremely sensitive compared to using cfDNA. Furthermore, use of BALF EV DNA also demonstrates higher efficiency in comparison to tissue rebiopsy for detecting p. T790 M mutation in the patients who developed resistance to EGFR-TKIs. These finding demonstrate possibility of liquid biopsy using EV DNA potentially replacing the current diagnostic methods for more accurate, cheaper, and faster results.</t>
  </si>
  <si>
    <t>[Hur, Jae Young; Kim, Hee Joung; Lee, Jong Sik; Lee, Kye Young] Konkuk Univ, Lung Canc Ctr, Med Ctr, Seoul, South Korea; [Hur, Jae Young] Konkuk Univ, Dept Pathol, Med Ctr, Seoul, South Korea; [Kim, Hee Joung; Lee, Kye Young] Konkuk Univ, Dept Pulm Med, Sch Med, 120-1 Hwayang Dong, Seoul 05030, South Korea; [Choi, Chang-Min] Univ Ulsan, Dept Pulm &amp; Crit Care Med, Coll Med, Asan Med Ctr, Seoul, South Korea; [Choi, Chang-Min; Lee, Jae Cheol] Univ Ulsan, Dept Oncol, Coll Med, Asan Med Ctr, Seoul, South Korea; [Jung, Min Kyo; Pack, Chan Gi] Univ Ulsan, Dept Convergence Med, Coll Med, Seoul, South Korea; [Jung, Min Kyo; Pack, Chan Gi] Asan Med Ctr, Asan Inst Life Sci, Seoul, South Korea</t>
  </si>
  <si>
    <t>Konkuk University; Konkuk University Medical Center; Konkuk University; Konkuk University Medical Center; Konkuk University; Konkuk University Medical Center; University of Ulsan; University of Ulsan; University of Ulsan; University of Ulsan; Asan Medical Center</t>
  </si>
  <si>
    <t>Lee, KY (corresponding author), Konkuk Univ, Lung Canc Ctr, Med Ctr, Seoul, South Korea.;Lee, KY (corresponding author), Konkuk Univ, Dept Pulm Med, Sch Med, 120-1 Hwayang Dong, Seoul 05030, South Korea.</t>
  </si>
  <si>
    <t>Lee, Jae Cheol/AAA-2678-2021</t>
  </si>
  <si>
    <t>1476-4598</t>
  </si>
  <si>
    <t>JAN 27</t>
  </si>
  <si>
    <t>10.1186/s12943-018-0772-6</t>
  </si>
  <si>
    <t>Biochemistry &amp; Molecular Biology; Oncology</t>
  </si>
  <si>
    <t>WOS:000423572600001</t>
  </si>
  <si>
    <t>Jin, Y; Chen, KY; Wang, ZY; Wang, Y; Liu, JZ; Lin, L; Shao, Y; Gao, LH; Yin, HH; Cui, C; Tan, ZL; Liu, LJ; Zhao, CH; Zhang, GR; Jia, R; Du, LJ; Chen, YL; Liu, RR; Xu, JM; Hu, XW; Wang, YL</t>
  </si>
  <si>
    <t>Jin, Yang; Chen, Keyan; Wang, Zongying; Wang, Yan; Liu, Jianzhi; Lin, Li; Shao, Yong; Gao, Lihua; Yin, Huihui; Cui, Cong; Tan, Zhaoli; Liu, Liejun; Zhao, Chuanhua; Zhang, Gairong; Jia, Ru; Du, Lijuan; Chen, Yuling; Liu, Rongrui; Xu, Jianming; Hu, Xianwen; Wang, Youliang</t>
  </si>
  <si>
    <t>DNA in serum extracellular vesicles is stable under different storage conditions</t>
  </si>
  <si>
    <t>Extracellular vesicles; DNA; Stability; Different conditions</t>
  </si>
  <si>
    <t>TUMOR-DERIVED EXOSOMES; INTERCELLULAR COMMUNICATION; MOLECULAR-PATHOLOGY; COLORECTAL-CANCER; PANCREATIC-CANCER; NUCLEIC-ACIDS; CELLS; MICROVESICLES; SECRETION; MICRORNA</t>
  </si>
  <si>
    <t>Background: Extracellular vesicles (EVs), including exosomes, microvesicles, and apoptotic bodies, can be secreted by most cell types and released in perhaps all biological fluids. EVs contain multiple proteins, specific lipids and several kinds of nucleic acids such as RNAs and DNAs. Studies have found that EVs contain double-stranded DNA and that genetic information has a certain degree of consistency with tumor DNA. Therefore, if genes that exist in exosomes are stable, we may be able to use EVs genetic testing as a new means to monitor gene mutation. Methods: In this study, EVs were extracted from serum under various storage conditions (4 degrees C, room temperature and repeated freeze-thaw). We used western blotting to examine the stability of serum EVs. Then, we extracted DNA from EVs and tested the concentration changing under different conditions. We further assessed the stability of EVs DNA s using polymerase chain reaction (PCR) and Sanger sequencing. Results: EVs is stable under the conditions of 4 degrees C (for 24 h, 72 h, 168 h), room temperature (for 6 h, 12 h, 24 h, 48 h) and repeated freeze-thaw (after one time, three times, five times). Also, serum DNA is mainly present in EVs, especially in exosomes, and that the content and function of DNA in EVs is stable whether in a changing environment or not. We showed that EVs DNA stayed stable for 1 week at 4 degrees C, 1 day at room temperature and after repeated freeze-thaw cycles (less than three times). However, DNA from serum EVs after 2 days at room temperature or after five repeated freeze-thaw cycles could be used for PCR and sequencing. Conclusions: Serum EVs and EVs DNA can remain stable under different environments, which is the premise that EVs could serve as a novel means for genetic tumor detection and potential biomarkers for cancer diagnostics and prognostics.</t>
  </si>
  <si>
    <t>[Jin, Yang; Chen, Keyan; Shao, Yong; Gao, Lihua; Yin, Huihui; Cui, Cong; Tan, Zhaoli; Hu, Xianwen; Wang, Youliang] Inst Biotechnol, Lab Cell Engn, Beijing, Peoples R China; [Jin, Yang; Wang, Yan; Liu, Jianzhi; Lin, Li; Cui, Cong; Tan, Zhaoli; Liu, Liejun; Zhao, Chuanhua; Zhang, Gairong; Jia, Ru; Du, Lijuan; Chen, Yuling; Liu, Rongrui; Xu, Jianming] Acad Mil Med Sci, Affiliated Hosp Canc Ctr, Beijing, Peoples R China; [Wang, Zongying] Peoples Hosp, Dept Ultrason, Rizhao, Shandong, Peoples R China</t>
  </si>
  <si>
    <t>Academy of Military Medical Sciences - China</t>
  </si>
  <si>
    <t>Hu, XW; Wang, YL (corresponding author), Inst Biotechnol, Lab Cell Engn, Beijing, Peoples R China.;Xu, JM (corresponding author), Acad Mil Med Sci, Affiliated Hosp Canc Ctr, Beijing, Peoples R China.</t>
  </si>
  <si>
    <t>jmxu2003@163.com; huxw1969@163.com; wang_you_liang@aliyun.com</t>
  </si>
  <si>
    <t>SEP 23</t>
  </si>
  <si>
    <t>10.1186/s12885-016-2783-2</t>
  </si>
  <si>
    <t>WOS:000384498200001</t>
  </si>
  <si>
    <t>Kubo, H</t>
  </si>
  <si>
    <t>Kubo, Hiroshi</t>
  </si>
  <si>
    <t>Extracellular Vesicles in Lung Disease</t>
  </si>
  <si>
    <t>CHEST</t>
  </si>
  <si>
    <t>COPD; ectosomes; exosomes; extracellular vesicles; idiopathic pulmonary fibrosis</t>
  </si>
  <si>
    <t>CIRCULATING ENDOTHELIAL MICROPARTICLES; COPD PATIENTS; POTENTIAL BIOMARKER; EXOSOMES; CELLS; DIFFERENTIATION; MICROVESICLES; MEDIATORS; INJURY; SERUM</t>
  </si>
  <si>
    <t>Accumulating evidence suggests that extracellular vesicles (EVs) play a role in the pathogenesis of lung diseases. These vesicles include exosomes, ectosomes (ie, microparticles, extracellular vesicles, microvesicles, and shedding vesicles), and apoptotic bodies. Exosomes are generated by inward budding of themembrane (endocytosis), subsequent forming of multivesicular bodies, and release by exocytosis. Ectosomes are formed by outward blebbing from the plasma membrane and are then released by proteolytic cleavage from the cell surface. Apoptotic bodies are generated on apoptotic cell shrinkage and death. Extracellular vesicles are released when the cells are activated or undergo apoptosis under inflammatory conditions. The number and types of released EVs are different according to the pathophysiological status of the disease. Therefore, EVs can be novel biomarkers for various lung diseases. EVs contain several molecules, including proteins, mRNA, microRNA, and DNA; they transfer these molecules to distant recipient cells. Circulating EVs modify the targeted cells and influence the microenvironment of the lungs. For this unique capability, EVs are expected to be a new drug delivery system and a novel therapeutic target.</t>
  </si>
  <si>
    <t>[Kubo, Hiroshi] Tohoku Univ, Grad Sch Med, Dept Adv Prevent Med Infect Dis, Sendai, Miyagi, Japan</t>
  </si>
  <si>
    <t>Tohoku University</t>
  </si>
  <si>
    <t>Kubo, H (corresponding author), Tohoku Univ, Grad Sch Med, Dept Adv Prevent Med Infect Dis, Aoba Ku, 2-1 Seiryoumachi, Sendai, Miyagi 9808575, Japan.</t>
  </si>
  <si>
    <t>hkubo@med.tohoku.ac.jp</t>
  </si>
  <si>
    <t>Kubo, Hiroshi/B-2760-2009</t>
  </si>
  <si>
    <t>Kubo, Hiroshi/0000-0001-6097-4542</t>
  </si>
  <si>
    <t>0012-3692</t>
  </si>
  <si>
    <t>10.1016/j.chest.2017.06.026</t>
  </si>
  <si>
    <t>Critical Care Medicine; Respiratory System</t>
  </si>
  <si>
    <t>General &amp; Internal Medicine; Respiratory System</t>
  </si>
  <si>
    <t>WOS:000422771600033</t>
  </si>
  <si>
    <t>Helmig, S; Frubeis, C; Kramer-Albers, EM; Simon, P; Tug, S</t>
  </si>
  <si>
    <t>Helmig, Susanne; Fruebeis, Carsten; Kraemer-Albers, Eva-Maria; Simon, Perikles; Tug, Suzan</t>
  </si>
  <si>
    <t>Release of bulk cell free DNA during physical exercise occurs independent of extracellular vesicles</t>
  </si>
  <si>
    <t>EUROPEAN JOURNAL OF APPLIED PHYSIOLOGY</t>
  </si>
  <si>
    <t>cfDNA; Extracellular vesicles; Exercise; Mitochondrial DNA</t>
  </si>
  <si>
    <t>FREE PLASMA DNA; FREE NUCLEIC-ACIDS; IMMUNE-RESPONSES; CIRCULATING DNA; CANCER-PATIENTS; EXOSOMES; MICROPARTICLES; MICROVESICLES; COMMUNICATION; BIOMARKERS</t>
  </si>
  <si>
    <t>Strenuous exercise induces a rapid and transient elevation of cell free DNA (cfDNA) concentration in blood plasma. The detection of cfDNA in the presence of plasma nucleases could indicate an association of cfDNA with protective vesicular structures. Several cell types release extracellular vesicles (EVs), including exosomes and shedding microvesicles, which are known to mediate the exchange of proteins and nucleic acids (largely RNA) between cells. Here, we assessed whether EVs play a role in the exercise-dependent release of cfDNA in blood plasma. Venous blood collected from healthy volunteers before and after incremental treadmill exercise was separated into vesicular (EV) and soluble fractions. Nuclear and mitochondrial DNA content in plasma supernatants and EV fractions was determined by quantitative real-time PCR (qPCR). We show that the majority of cfDNA is located in the plasma supernatants. Only minute amounts of DNA were observed in the EV-associated fractions including microvesicles and exosomes. Nuclear and mitochondrial DNA species differ in terms of their quantities in the several plasma fractions. Our results indicate that cfDNA liberated in response to acute physical exercise is not released by vesicular means and circulates in a soluble form in blood plasma which could indicate different biological functions exerted by cfDNA and EVs. The different nature of DNA species in plasma has major implications for the preparation of plasma and other bodily fluids prior to analysis.</t>
  </si>
  <si>
    <t>[Helmig, Susanne; Simon, Perikles; Tug, Suzan] Johannes Gutenberg Univ Mainz, Dept Sports Med, D-55128 Mainz, Germany; [Fruebeis, Carsten; Kraemer-Albers, Eva-Maria] Johannes Gutenberg Univ Mainz, Mol Cell Biol, D-55128 Mainz, Germany</t>
  </si>
  <si>
    <t>Johannes Gutenberg University of Mainz; Johannes Gutenberg University of Mainz</t>
  </si>
  <si>
    <t>Tug, S (corresponding author), Johannes Gutenberg Univ Mainz, Dept Sports Med, Albert Schweitzer Str 22, D-55128 Mainz, Germany.</t>
  </si>
  <si>
    <t>tug@uni-mainz.de</t>
  </si>
  <si>
    <t>Eva-Maria, Kraemer-Albers/AAP-8805-2020; Simon, Perikles D/B-2293-2013</t>
  </si>
  <si>
    <t>Eva-Maria, Kraemer-Albers/0000-0001-7994-1185; Simon, Perikles D/0000-0002-7996-4034</t>
  </si>
  <si>
    <t>1439-6319</t>
  </si>
  <si>
    <t>1439-6327</t>
  </si>
  <si>
    <t>NOV</t>
  </si>
  <si>
    <t>10.1007/s00421-015-3207-8</t>
  </si>
  <si>
    <t>Physiology; Sport Sciences</t>
  </si>
  <si>
    <t>WOS:000363057400004</t>
  </si>
  <si>
    <t>Baysa, A; Fedorov, A; Kondratov, K; Ruusalepp, A; Minasian, S; Galagudza, M; Popov, M; Kurapeev, D; Yakovlev, A; Valen, G; Kostareva, A; Vaage, J; Stenslokken, KO</t>
  </si>
  <si>
    <t>Baysa, Anton; Fedorov, Anton; Kondratov, Kirill; Ruusalepp, Arno; Minasian, Sarkis; Galagudza, Michael; Popov, Maxim; Kurapeev, Dmitry; Yakovlev, Alexey; Valen, Guro; Kostareva, Anna; Vaage, Jarle; Stenslokken, Kare-Olav</t>
  </si>
  <si>
    <t>Release of Mitochondrial and Nuclear DNA During On-Pump Heart Surgery: Kinetics and Relation to Extracellular Vesicles</t>
  </si>
  <si>
    <t>JOURNAL OF CARDIOVASCULAR TRANSLATIONAL RESEARCH</t>
  </si>
  <si>
    <t>Extracellular DNA; Cardiac surgery; Exosomes; Microvesicles</t>
  </si>
  <si>
    <t>INFLAMMATORY RESPONSE; CELL-FREE; DAMPS</t>
  </si>
  <si>
    <t>During heart surgery with cardiopulmonary bypass (CPB), the release of mitochondrial (mtDNA) and nuclear DNA (nDNA) and their association to extracellular vesicles were investigated. In patients undergoing elective coronary artery bypass grafting (CABG, n=12), blood was sampled before, during, and after surgery from peripheral artery, pulmonary artery, and the coronary sinus. Plasma was separated in three fractions: microvesicles, exosomes, and supernatant. mtDNA and nDNA were measured by qPCR. mtDNA and nDNA levels increased after start of surgery, but before CPB, and increased further during CPB. mtDNA copy number was about 1000-fold higher than nDNA. mtDNA was predominantly localized to the vesicular fractions in plasma, whereas nDNA was predominantly in the supernatant. The amount of free mtDNA increased after surgery. There was no net release or disappearance of DNAs across the pulmonary, systemic, or coronary circulation. Extracellular DNAs, in particular mtDNA, may be important contributors to the whole-body inflammation during CPB.</t>
  </si>
  <si>
    <t>[Baysa, Anton; Valen, Guro; Stenslokken, Kare-Olav] Univ Oslo, Div Physiol, Dept Mol Med, Inst Basic Med Sci, Postbox 1103, N-0317 Oslo, Norway; [Baysa, Anton; Valen, Guro; Stenslokken, Kare-Olav] Univ Oslo, Ctr Heart Failure Res, Oslo, Norway; [Fedorov, Anton; Kondratov, Kirill; Minasian, Sarkis; Galagudza, Michael; Popov, Maxim; Kurapeev, Dmitry; Yakovlev, Alexey; Kostareva, Anna] Almazov Natl Med Res Ctr, St Petersburg, Russia; [Fedorov, Anton] St Petersburg State Univ, Dept Cytol &amp; Histol, St Petersburg, Russia; [Ruusalepp, Arno] Tartu Univ Hosp, Dept Cardiac Surg, Tartu, Estonia; [Vaage, Jarle] Univ Oslo, Oslo Univ Hosp, Inst Clin Med, Oslo, Norway</t>
  </si>
  <si>
    <t>University of Oslo; University of Oslo; Almazov National Medical Research Centre; Saint Petersburg State University; University of Oslo</t>
  </si>
  <si>
    <t>Stenslokken, KO (corresponding author), Univ Oslo, Div Physiol, Dept Mol Med, Inst Basic Med Sci, Postbox 1103, N-0317 Oslo, Norway.;Stenslokken, KO (corresponding author), Univ Oslo, Ctr Heart Failure Res, Oslo, Norway.</t>
  </si>
  <si>
    <t>k.o.stenslokken@medisin.uio.no</t>
  </si>
  <si>
    <t>Kurapeev, Dmitry I/A-4445-2014; Kostareva, Anna/AAO-5429-2020</t>
  </si>
  <si>
    <t>Stenslokken, Kare-Olav/0000-0003-2962-4143; Galagudza, Michael/0000-0001-5129-9944; Ruusalepp, Arno/0000-0001-5816-8613</t>
  </si>
  <si>
    <t>1937-5387</t>
  </si>
  <si>
    <t>1937-5395</t>
  </si>
  <si>
    <t>10.1007/s12265-018-9848-3</t>
  </si>
  <si>
    <t>Cardiac &amp; Cardiovascular Systems; Medicine, Research &amp; Experimental</t>
  </si>
  <si>
    <t>Cardiovascular System &amp; Cardiology; Research &amp; Experimental Medicine</t>
  </si>
  <si>
    <t>WOS:000474567100003</t>
  </si>
  <si>
    <t>Qu, XL; Li, QW; Yang, JW; Zhao, HX; Wang, FF; Zhang, FY; Zhang, SF; Zhang, H; Wang, RL; Wang, Q; Wang, Q; Li, GH; Peng, XM; Zhou, X; Hao, YX; Zhu, JH; Xiao, WH</t>
  </si>
  <si>
    <t>Qu, Xueling; Li, Qiuwen; Yang, Jingwen; Zhao, Huixia; Wang, Feifei; Zhang, Fengyun; Zhang, Shufang; Zhang, He; Wang, Ruliang; Wang, Qian; Wang, Qi; Li, Guanghui; Peng, Xiumei; Zhou, Xuan; Hao, Yixin; Zhu, Jianhua; Xiao, Wenhua</t>
  </si>
  <si>
    <t>Double-Stranded DNA in Exosomes of Malignant Pleural Effusions as a Novel DNA Source for EGFR Mutation Detection in Lung Adenocarcinoma</t>
  </si>
  <si>
    <t>FRONTIERS IN ONCOLOGY</t>
  </si>
  <si>
    <t>exosome; double-stranded DNA; EGFR mutation; malignant pleural effusions; lung adenocarcinoma</t>
  </si>
  <si>
    <t>CANCER; PLASMA; EPIDEMIOLOGY; PREDICTOR</t>
  </si>
  <si>
    <t>Background: Exosomes are cell-derived vesicles and bear a specific set of nucleic acids including DNA (exoDNA). Thus, this study is to explore whether exoDNA in malignant pleural effusions (MPEs) could be a novel DNA source for mutation detection of epidermal growth factor receptor (EGFR). Methods: In this study, 52 lung adenocarcinoma patients were enrolled, and EGFR mutation status was detected with tumor tissues as well as cell blocks and exosomes in MPEs. The sensitivity, specificity and consistency of EGFR detection using exosomes were evaluated, compared with gene detection using tumor tissues and cell blocks. And the clinical response of patients who were detected as EGFR mutation in exosomes and treated with EGFR tyrosine kinase inhibitor (EGFR-TKI) was explored. Results: Gene detection using exosomes showed sensitivity of 100%, specificity of 96.55% and coincidence rate of 98.08% (Kappa = 0.961, P &lt; 0.001), compared with detection using tumor tissues and cell blocks. After EGFR-TKI treatment, patients detected as EGFR mutation by exosomes showed efficacy rate of 83% and disease control rate of 100%. And patients who were detected as wild type in tumor tissues or cell blocks but EGFR mutation in exosomes turned up as PR or SD. Conclusions: These results demonstrated that exoDNA in MPEs could be used as a DNA source for EGFR detection in lung adenocarcinoma.</t>
  </si>
  <si>
    <t>[Qu, Xueling; Li, Qiuwen; Yang, Jingwen; Zhao, Huixia; Zhang, Fengyun; Zhang, Shufang; Zhang, He; Wang, Ruliang; Wang, Qi; Peng, Xiumei; Zhou, Xuan; Hao, Yixin; Zhu, Jianhua; Xiao, Wenhua] Peoples Liberat Army Gen Hosp, Med Ctr 4, Dept Oncol, Beijing, Peoples R China; [Wang, Feifei] Capital Med Univ, Peoples Hosp Beijing Daxing Dist, Dept Oncol, Beijing, Peoples R China; [Wang, Qian] Hebei Med Univ, Hosp 1, Dept Oncol, Shijiazhuang, Hebei, Peoples R China; [Li, Guanghui] Tianjin Med Univ, Sino Singapore Ecocity Hosp, Dept Internal Med, Tianjin, Peoples R China</t>
  </si>
  <si>
    <t>Chinese People's Liberation Army General Hospital; Capital Medical University; Hebei Medical University; Tianjin Medical University</t>
  </si>
  <si>
    <t>Xiao, WH (corresponding author), Peoples Liberat Army Gen Hosp, Med Ctr 4, Dept Oncol, Beijing, Peoples R China.</t>
  </si>
  <si>
    <t>w_hxiao@hotmail.com</t>
  </si>
  <si>
    <t>2234-943X</t>
  </si>
  <si>
    <t>SEP 25</t>
  </si>
  <si>
    <t>10.3389/fonc.2019.00931</t>
  </si>
  <si>
    <t>WOS:000487658600001</t>
  </si>
  <si>
    <t>Lazo, S; Hooten, NN; Green, J; Eitan, E; Mode, NA; Liu, QR; Zonderman, AB; Ezike, N; Mattson, MP; Ghosh, P; Evans, MK</t>
  </si>
  <si>
    <t>Lazo, Stephanie; Noren Hooten, Nicole; Green, Jamal; Eitan, Erez; Mode, Nicolle A.; Liu, Qing-Rong; Zonderman, Alan B.; Ezike, Ngozi; Mattson, Mark P.; Ghosh, Paritosh; Evans, Michele K.</t>
  </si>
  <si>
    <t>Mitochondrial DNA in extracellular vesicles declines with age</t>
  </si>
  <si>
    <t>AGING CELL</t>
  </si>
  <si>
    <t>aging; biomarker; circulating cell&amp;#8208; free mitochondrial DNA; exosomes; extracellular vesicles; intercellular communication; microvesicles; mitochondrial DNA</t>
  </si>
  <si>
    <t>TIME QUANTITATIVE PCR; MUTATIONS; EXOSOMES; QUANTIFICATION; RESPONSES; NUCLEAR; BIOLOGY; HEALTH; CELLS; RACE</t>
  </si>
  <si>
    <t>The mitochondrial free radical theory of aging suggests that accumulating oxidative damage to mitochondria and mitochondrial DNA (mtDNA) plays a central role in aging. Circulating cell-free mtDNA (ccf-mtDNA) isolated from blood may be a biomarker of disease. Extracellular vesicles (EVs) are small (30-400 nm), lipid-bound vesicles capable of shuttling proteins, nucleic acids, and lipids as part of intercellular communication systems. Here, we report that a portion of ccf-mtDNA in plasma is encapsulated in EVs. To address whether EV mtDNA levels change with human age, we analyzed mtDNA in EVs from individuals aged 30-64 years cross-sectionally and longitudinally. EV mtDNA levels decreased with age. Furthermore, the maximal mitochondrial respiration of cultured cells was differentially affected by EVs from old and young donors. Our results suggest that plasma mtDNA is present in EVs, that the level of EV-derived mtDNA is associated with age, and that EVs affect mitochondrial energetics in an EV age-dependent manner.</t>
  </si>
  <si>
    <t>[Lazo, Stephanie; Noren Hooten, Nicole; Green, Jamal; Mode, Nicolle A.; Zonderman, Alan B.; Ezike, Ngozi; Evans, Michele K.] NIH, NIA, Lab Epidemiol &amp; Populat Sci, Baltimore, MD USA; [Eitan, Erez; Mattson, Mark P.] Natl Inst Hlth, NIA, Lab Neurosci, Baltimore, MD USA; [Liu, Qing-Rong; Ghosh, Paritosh] Natl Inst Hlth, NIA, Lab Clin Invest, Baltimore, MD USA</t>
  </si>
  <si>
    <t>National Institutes of Health (NIH) - USA; NIH National Institute on Aging (NIA); National Institutes of Health (NIH) - USA; NIH National Institute on Aging (NIA); National Institutes of Health (NIH) - USA; NIH National Institute on Aging (NIA)</t>
  </si>
  <si>
    <t>Evans, MK (corresponding author), Natl Inst Hlth, NIA, Baltimore, MD 21224 USA.</t>
  </si>
  <si>
    <t>me42v@nih.gov</t>
  </si>
  <si>
    <t>Noren Hooten, Nicole/J-5498-2019; Ezike, Ngozi/AAL-3075-2021; Liu, Qing-Rong/A-3059-2012</t>
  </si>
  <si>
    <t>Noren Hooten, Nicole/0000-0002-1683-3838; Lazo, Stephanie/0000-0001-8016-3181; Mode, Nicolle/0000-0002-8193-0554; Liu, Qing-Rong/0000-0001-8477-6452</t>
  </si>
  <si>
    <t>1474-9718</t>
  </si>
  <si>
    <t>1474-9726</t>
  </si>
  <si>
    <t>e13283</t>
  </si>
  <si>
    <t>10.1111/acel.13283</t>
  </si>
  <si>
    <t>DEC 2020</t>
  </si>
  <si>
    <t>Cell Biology; Geriatrics &amp; Gerontology</t>
  </si>
  <si>
    <t>WOS:000601040400001</t>
  </si>
  <si>
    <t>Bart, G; Fischer, D; Samoylenko, A; Zhyvolozhnyi, A; Stehantsev, P; Miinalainen, I; Kaakinen, M; Nurmi, T; Singh, P; Kosamo, S; Rannaste, L; Viitala, S; Hiltunen, J; Vainio, SJ</t>
  </si>
  <si>
    <t>Bart, Genevieve; Fischer, Daniel; Samoylenko, Anatoliy; Zhyvolozhnyi, Artem; Stehantsev, Pavlo; Miinalainen, Ilkka; Kaakinen, Mika; Nurmi, Tuomas; Singh, Prateek; Kosamo, Susanna; Rannaste, Lauri; Viitala, Sirja; Hiltunen, Jussi; Vainio, Seppo J.</t>
  </si>
  <si>
    <t>Characterization of nucleic acids from extracellular vesicle-enriched human sweat</t>
  </si>
  <si>
    <t>BMC GENOMICS</t>
  </si>
  <si>
    <t>Extracellular vesicles (EV); Sweat; Genomics; Transcriptomics; Exercise; Microbiome; Metagenomics; Skin</t>
  </si>
  <si>
    <t>PROTEOMIC ANALYSIS; SKIN; DNA; MITOCHONDRIA; ULTRAFAST; ALIGNMENT; GLANDS; SECRETION; SEQUENCES; REVEALS</t>
  </si>
  <si>
    <t>Background The human sweat is a mixture of secretions from three types of glands: eccrine, apocrine, and sebaceous. Eccrine glands open directly on the skin surface and produce high amounts of water-based fluid in response to heat, emotion, and physical activity, whereas the other glands produce oily fluids and waxy sebum. While most body fluids have been shown to contain nucleic acids, both as ribonucleoprotein complexes and associated with extracellular vesicles (EVs), these have not been investigated in sweat. In this study we aimed to explore and characterize the nucleic acids associated with sweat particles. Results We used next generation sequencing (NGS) to characterize DNA and RNA in pooled and individual samples of EV-enriched sweat collected from volunteers performing rigorous exercise. In all sequenced samples, we identified DNA originating from all human chromosomes, but only the mitochondrial chromosome was highly represented with 100% coverage. Most of the DNA mapped to unannotated regions of the human genome with some regions highly represented in all samples. Approximately 5 % of the reads were found to map to other genomes: including bacteria (83%), archaea (3%), and virus (13%), identified bacteria species were consistent with those commonly colonizing the human upper body and arm skin. Small RNA-seq from EV-enriched pooled sweat RNA resulted in 74% of the trimmed reads mapped to the human genome, with 29% corresponding to unannotated regions. Over 70% of the RNA reads mapping to an annotated region were tRNA, while misc. RNA (18,5%), protein coding RNA (5%) and miRNA (1,85%) were much less represented. RNA-seq from individually processed EV-enriched sweat collection generally resulted in fewer percentage of reads mapping to the human genome (7-45%), with 50-60% of those reads mapping to unannotated region of the genome and 30-55% being tRNAs, and lower percentage of reads being rRNA, LincRNA, misc. RNA, and protein coding RNA. Conclusions Our data demonstrates that sweat, as all other body fluids, contains a wealth of nucleic acids, including DNA and RNA of human and microbial origin, opening a possibility to investigate sweat as a source for biomarkers for specific health parameters.</t>
  </si>
  <si>
    <t>[Bart, Genevieve; Samoylenko, Anatoliy; Zhyvolozhnyi, Artem; Stehantsev, Pavlo; Miinalainen, Ilkka; Kaakinen, Mika; Nurmi, Tuomas; Singh, Prateek; Kosamo, Susanna; Vainio, Seppo J.] Univ Oulu, Fac Biochem &amp; Mol Med, Dis Networks Res Unit, Lab Dev Biol,Kvantum Inst,Infotech Oulu, Oulu 90014, Finland; [Fischer, Daniel; Viitala, Sirja] Nat Resources Inst Finland LUKE, Prod Syst, Jokioinen 31600, Finland; [Singh, Prateek] Finnadvance, Aapistie 5, Oulu 90220, Finland; [Rannaste, Lauri; Hiltunen, Jussi] Tech Res Ctr Finland Ltd, Biosensors, VTT, Kaitovayla 1, Oulu 90570, Finland</t>
  </si>
  <si>
    <t>University of Oulu; Natural Resources Institute Finland (Luke); VTT Technical Research Center Finland</t>
  </si>
  <si>
    <t>Vainio, SJ (corresponding author), Univ Oulu, Fac Biochem &amp; Mol Med, Dis Networks Res Unit, Lab Dev Biol,Kvantum Inst,Infotech Oulu, Oulu 90014, Finland.</t>
  </si>
  <si>
    <t>seppo.vainio@oulu.fi</t>
  </si>
  <si>
    <t>Samoylenko, Anatoliy/AAN-1992-2021; Samoylenko, Anatoliy/AAZ-9623-2021</t>
  </si>
  <si>
    <t>Samoylenko, Anatoliy/0000-0002-0240-897X; Bart, Genevieve/0000-0001-9809-150X; Singh, Prateek/0000-0001-6255-8243; Kosamo, Susanna/0000-0001-5151-9361</t>
  </si>
  <si>
    <t>1471-2164</t>
  </si>
  <si>
    <t>JUN 9</t>
  </si>
  <si>
    <t>10.1186/s12864-021-07733-9</t>
  </si>
  <si>
    <t>Biotechnology &amp; Applied Microbiology; Genetics &amp; Heredity</t>
  </si>
  <si>
    <t>WOS:000659215600001</t>
  </si>
  <si>
    <t>S</t>
  </si>
  <si>
    <t>Chang, WH; Cerione, RA; Antonyak, MA</t>
  </si>
  <si>
    <t>Robles-Flores, M</t>
  </si>
  <si>
    <t>Chang, Wen-Hsuan; Cerione, Richard A.; Antonyak, Marc A.</t>
  </si>
  <si>
    <t>Extracellular Vesicles and Their Roles in Cancer Progression</t>
  </si>
  <si>
    <t>CANCER CELL SIGNALING, 3 EDITION: Methods and Protocols</t>
  </si>
  <si>
    <t>Methods in Molecular Biology</t>
  </si>
  <si>
    <t>Article; Book Chapter</t>
  </si>
  <si>
    <t>Microvesicles; Extracellular vesicles; Intercellular communication; Exosomes; Tumor microenvironment; Multivesicular bodies; Therapy deliver system</t>
  </si>
  <si>
    <t>INTERCELLULAR TRANSFER; TRANSFERRIN RECEPTOR; EXOSOME SECRETION; PANCREATIC-CANCER; TUMOR-CELLS; MICROVESICLES; ADENOSINE; MECHANISMS; PROTEINS; BIOGENESIS</t>
  </si>
  <si>
    <t>Extracellular vesicles (EVs) produced by cancer cells function as a unique form of intercellular communication that can promote cell growth and survival, help shape the tumor microenvironment, and increase invasive and metastatic activity. There are two major classes of EVs, microvesicles (MVs) and exosomes, and they differ in how they are formed. MVs are generated by the outward budding and fission of the plasma membrane. On the other hand, exosomes are derived as multivesicular bodies (MVBs) fuse with the plasma membrane and release their contents. What makes EVs especially interesting is how they mediate their effects. Both MVs and exosomes have been shown to contain a wide-variety of bioactive cargo, including cell surface, cytosolic, and nuclear proteins, as well as RNA transcripts, micro-RNAs (miRNAs), and even fragments of DNA. EVs, and their associated cargo, can be transferred to other cancer cells, as well as to normal cell types, causing the recipient cells to undergo phenotypic changes that promote different aspects of cancer progression. These findings, combined with those demonstrating that the amounts and contents of EVs produced by cancer cells can vary depending on their cell of origin, stage of development, or response to therapies, have raised the exciting possibility that EVs can be used for diagnostic purposes. Moreover, the pharmaceutical community is aggressively pursuing the use of EVs as a potential drug delivery platform. Here, in this chapter, we will highlight what is currently known about how EVs are generated, how they impact cancer progression, and the different ways they are being exploited for clinical applications.</t>
  </si>
  <si>
    <t>[Chang, Wen-Hsuan; Cerione, Richard A.] Cornell Univ, Dept Chem &amp; Chem Biol, Ithaca, NY USA; [Cerione, Richard A.; Antonyak, Marc A.] Cornell Univ, Dept Mol Med, Ithaca, NY USA; [Cerione, Richard A.] Cornell Univ, Vet Med Ctr, Ithaca, NY USA</t>
  </si>
  <si>
    <t>Cornell University; Cornell University; Cornell University</t>
  </si>
  <si>
    <t>Chang, WH (corresponding author), Cornell Univ, Dept Chem &amp; Chem Biol, Ithaca, NY USA.</t>
  </si>
  <si>
    <t>Chang, Wen-Hsuan/AAG-2092-2021</t>
  </si>
  <si>
    <t>Chang, Wen-Hsuan/0000-0002-5751-6345; Reis, AlessanRSS/0000-0001-8486-7469</t>
  </si>
  <si>
    <t>1064-3745</t>
  </si>
  <si>
    <t>1940-6029</t>
  </si>
  <si>
    <t>978-1-0716-0759-6; 978-1-0716-0758-9</t>
  </si>
  <si>
    <t>10.1007/978-1-0716-0759-6_10</t>
  </si>
  <si>
    <t>10.1007/978-1-0716-0759-6</t>
  </si>
  <si>
    <t>Biochemical Research Methods; Biochemistry &amp; Molecular Biology; Oncology</t>
  </si>
  <si>
    <t>Book Citation Index – Science (BKCI-S)</t>
  </si>
  <si>
    <t>WOS:000684295200011</t>
  </si>
  <si>
    <t>Neuberger, EWI; Hillen, B; Mayr, K; Simon, P; Kramer-Albers, EM; Brahmer, A</t>
  </si>
  <si>
    <t>Neuberger, Elmo W., I; Hillen, Barlo; Mayr, Katharina; Simon, Perikles; Kraemer-Albers, Eva-Maria; Brahmer, Alexandra</t>
  </si>
  <si>
    <t>Kinetics and Topology of DNA Associated with Circulating Extracellular Vesicles Released during Exercise</t>
  </si>
  <si>
    <t>GENES</t>
  </si>
  <si>
    <t>extracellular vesicles; exosomes; cell-free DNA; extracellular DNA; corona; intraluminal; physical exercise; vesicular genomic DNA; human plasma</t>
  </si>
  <si>
    <t>Although it is widely accepted that cancer-derived extracellular vesicles (EVs) carry DNA cargo, the association of cell-free circulating DNA (cfDNA) and EVs in plasma of healthy humans remains elusive. Using a physiological exercise model, where EVs and cfDNA are synchronously released, we aimed to characterize the kinetics and localization of DNA associated with EVs. EVs were separated from human plasma using size exclusion chromatography or immuno-affinity capture for CD9(+), CD63(+), and CD81(+) EVs. DNA was quantified with an ultra-sensitive qPCR assay targeting repetitive LINE elements, with or without DNase digestion. This model shows that a minute part of circulating cell-free DNA is associated with EVs. During rest and following exercise, only 0.12% of the total cfDNA occurs in association with CD9(+)/CD63(+)/CD81(+)EVs. DNase digestion experiments indicate that the largest part of EV associated DNA is sensitive to DNase digestion and only similar to 20% are protected within the lumen of the separated EVs. A single bout of running or cycling exercise increases the levels of EVs, cfDNA, and EV-associated DNA. While EV surface DNA is increasing, DNAse-resistant DNA remains at resting levels, indicating that EVs released during exercise (ExerVs) do not contain DNA. Consequently, DNA is largely associated with the outer surface of circulating EVs. ExerVs recruit cfDNA to their corona, but do not carry DNA in their lumen.</t>
  </si>
  <si>
    <t>[Neuberger, Elmo W., I; Hillen, Barlo; Simon, Perikles; Brahmer, Alexandra] Johannes Gutenberg Univ Mainz, Dept Sports Med Rehabil &amp; Dis Prevent, D-55099 Mainz, Germany; [Mayr, Katharina; Kraemer-Albers, Eva-Maria; Brahmer, Alexandra] Johannes Gutenberg Univ Mainz, Inst Dev Biol &amp; Neurobiol, Extracellular Vesicles Res Grp, D-55099 Mainz, Germany</t>
  </si>
  <si>
    <t>Neuberger, EWI; Brahmer, A (corresponding author), Johannes Gutenberg Univ Mainz, Dept Sports Med Rehabil &amp; Dis Prevent, D-55099 Mainz, Germany.;Brahmer, A (corresponding author), Johannes Gutenberg Univ Mainz, Inst Dev Biol &amp; Neurobiol, Extracellular Vesicles Res Grp, D-55099 Mainz, Germany.</t>
  </si>
  <si>
    <t>neuberge@uni-mainz.de; b.hillen@uni-mainz.de; K.Mayr@imb-mainz.de; simonpe@uni-mainz.de; alberse@uni-mainz.de; albrahme@uni-mainz.de</t>
  </si>
  <si>
    <t>Simon, Perikles D/B-2293-2013</t>
  </si>
  <si>
    <t>Simon, Perikles D/0000-0002-7996-4034; Neuberger, Elmo Wanja Immanuel/0000-0003-2021-6477; Brahmer, Alexandra/0000-0001-5963-4209; Hillen, Barlo/0000-0002-5090-2286; Kramer-Albers, Eva-Maria/0000-0001-7994-1185</t>
  </si>
  <si>
    <t>2073-4425</t>
  </si>
  <si>
    <t>10.3390/genes12040522</t>
  </si>
  <si>
    <t>Genetics &amp; Heredity</t>
  </si>
  <si>
    <t>WOS:000643026900001</t>
  </si>
  <si>
    <t>Chang, XL; Fang, LQ; Bai, J; Wang, ZB</t>
  </si>
  <si>
    <t>Chang, Xiulin; Fang, Liaoqiong; Bai, Jin; Wang, Zhibiao</t>
  </si>
  <si>
    <t>Characteristics and Changes of DNA in Extracellular Vesicles</t>
  </si>
  <si>
    <t>DNA AND CELL BIOLOGY</t>
  </si>
  <si>
    <t>extracellular vesicles; DNA; histone; differences</t>
  </si>
  <si>
    <t>BIOLOGICAL SIGNIFICANCE; MEMBRANE-VESICLES; MITOCHONDRIAL-DNA; CIRCULATING DNA; EXOSOMES; MICROVESICLES; SERUM; IDENTIFICATION; TRAITS; CELLS</t>
  </si>
  <si>
    <t>Extracellular vesicles (EVs) have been known to carry multiple bioactive molecules, including lipids, mRNA/miRNA, and proteins. However, recent studies show that specific DNAs are also packed into EVs secreted by various cells, which are considered as powerful markers for diagnosis and prognosis of disease. DNAs in EVs are derived from parental cells, representing the mutation and even spanning of the whole genomic DNA of parental cells. Interestingly, increasing numbers of studies have found that the genetic materials in different EVs are not only universal but also random and different, which may be related to the size of EVs. In this review, we discuss the different characteristics of DNAs in EVs and the rules of their variation. We hope our review will trigger the continuing exploration of the origins, characteristics, and variations of DNAs in EVs.</t>
  </si>
  <si>
    <t>[Chang, Xiulin; Fang, Liaoqiong; Bai, Jin; Wang, Zhibiao] Chongqing Med Univ, Coll Biomed Engn, State Key Lab Ultrasound Engn Med Cofounded Chong, Chongqing Key Lab Biomed Engn, Chongqing 400016, Peoples R China</t>
  </si>
  <si>
    <t>Chongqing Medical University</t>
  </si>
  <si>
    <t>Wang, ZB (corresponding author), Chongqing Med Univ, Coll Biomed Engn, State Key Lab Ultrasound Engn Med Cofounded Chong, Chongqing Key Lab Biomed Engn, Chongqing 400016, Peoples R China.</t>
  </si>
  <si>
    <t>wangzb@cqmu.edu.cn</t>
  </si>
  <si>
    <t>1044-5498</t>
  </si>
  <si>
    <t>1557-7430</t>
  </si>
  <si>
    <t>SEP 1</t>
  </si>
  <si>
    <t>10.1089/dna.2019.5005</t>
  </si>
  <si>
    <t>JUN 2020</t>
  </si>
  <si>
    <t>Biochemistry &amp; Molecular Biology; Cell Biology; Genetics &amp; Heredity</t>
  </si>
  <si>
    <t>WOS:000541768700001</t>
  </si>
  <si>
    <t>Zhu, HH; Liu, H; Wen, JF; Yuan, T; Ren, GY; Jiang, YQ; Yuan, YJ; Mei, JH; Yu, YF; Li, GR</t>
  </si>
  <si>
    <t>Zhu, Haohao; Liu, Huai; Wen, Jianfeng; Yuan, Ting; Ren, Guangyu; Jiang, Yonqing; Yuan, Yujun; Mei, Jinhong; Yu, Yuefei; Li, Guorong</t>
  </si>
  <si>
    <t>Overexpression of Human Aspartyl (Asparaginyl) beta-hydroxylase in NSCLC: Its Diagnostic Value by Means of Exosomes of Bronchoalveolar Lavage</t>
  </si>
  <si>
    <t>APPLIED IMMUNOHISTOCHEMISTRY &amp; MOLECULAR MORPHOLOGY</t>
  </si>
  <si>
    <t>bronchoalveolar lavage; exosomes; human aspartyl beta-hydroxylase (ASPH); non-small cell lung carcinoma</t>
  </si>
  <si>
    <t>CELL-FREE DNA; LUNG-CANCER</t>
  </si>
  <si>
    <t>The human aspartyl beta-hydroxylase (ASPH) is overexpressed in tumor tissues. Bronchoalveolar lavage (BAL) is a diagnostic procedure for infections and malignancies. The aim of this study was to investigate whether tumor exosomes carrying ASPH gene marker were present in bronchoalveolar fluid of patients with non-small cell lung cancer (NSCLC). A tissue microarray analysis was applied to explore the expression of ASPH in different histologic NSCLC. The human NSCLC cell lines and normal bronchial cell lines were used to study exosomal ASPH exprerssion. A total of 27 NSCLC, 21 benign tumor, and 15 healthy controls underwent BAL. Immunohistochemistry was performed to study the ASPH expression in malignant and normal lung tissues. The expression characteristics of ASPH in different NSCLC and normal bronchial cells and pneumocytes were confirmed by cell blocks. A reverse transcription-quantitative polymerase chain reaction was carried out to study the levels of exosomal ASPH expression. Immunohistochemical staining of tissue microarray demonstrated that overexpression of ASPH was found in NSCLC tissues including adenocarcinoma, large cell carcinoma, and squamous cell carcinoma, but absent in adjacent normal tissues. All NSCLC specimens exhibited high levels of ASPH immunoreactivity, while nonmalignant and normal lung tissues exhibited a very low level of expression. Overexpression of ASPH was found in exosomes from NSCLC cell lines but absent from the normal bronchial cell line NL-20. ASPH level from BAL exosomes was significantly increased in NSCLC patients compared with that from nonmalignant or health group. Our method of isolation of BAL exosomes was easily performed in the clinical laboratory. BAL exosomal ASPH can be a potential biomarker for NSCLC diagnosis.</t>
  </si>
  <si>
    <t>[Zhu, Haohao; Mei, Jinhong] Nanchang Univ, Affiliated Hosp 1, Dept Pathol, Nanchang, Jiangxi, Peoples R China; [Zhu, Haohao; Yuan, Ting; Ren, Guangyu] 908th Hosp PLA Joint Logist Support Force, Dept Pathol, Nanchang, Jiangxi, Peoples R China; [Wen, Jianfeng] 908th Hosp PLA Joint Logist Support Force, Dept Neurosurg, Nanchang, Jiangxi, Peoples R China; [Mei, Jinhong; Yu, Yuefei] Jiangxi Huitai Biotech Ltd, 989 Tianxiang North, Nanchang 330000, Jiangxi, Peoples R China; [Liu, Huai; Jiang, Yonqing; Yuan, Yujun] Jiujiang Univ Affiliated Hosp, Jiujiang, Jiangxi, Peoples R China; [Li, Guorong] CHU St Etienne, Dept Urol, North Hosp, St Etienne, France</t>
  </si>
  <si>
    <t>Nanchang University; CHU de St Etienne</t>
  </si>
  <si>
    <t>Yu, YF (corresponding author), Jiangxi Huitai Biotech Ltd, 989 Tianxiang North, Nanchang 330000, Jiangxi, Peoples R China.</t>
  </si>
  <si>
    <t>yfyu1963@yahoo.com; grli2001@yahoo.fr</t>
  </si>
  <si>
    <t>1541-2016</t>
  </si>
  <si>
    <t>1533-4058</t>
  </si>
  <si>
    <t>NOV-DEC</t>
  </si>
  <si>
    <t>Anatomy &amp; Morphology; Medical Laboratory Technology; Pathology</t>
  </si>
  <si>
    <t>WOS:000756930100003</t>
  </si>
  <si>
    <t>Martelli, F; Macera, L; Spezia, PG; Medici, C; Pistello, M; Guasti, D; Romagnoli, P; Maggi, F; Giannecchini, S</t>
  </si>
  <si>
    <t>Martelli, Francesco; Macera, Lisa; Spezia, Pietro Giorgio; Medici, Chiara; Pistello, Mauro; Guasti, Daniele; Romagnoli, Paolo; Maggi, Fabrizio; Giannecchini, Simone</t>
  </si>
  <si>
    <t>Torquetenovirus detection in exosomes enriched vesicles circulating in human plasma samples</t>
  </si>
  <si>
    <t>VIROLOGY JOURNAL</t>
  </si>
  <si>
    <t>Anelloviruses; Torquetenovirus; Exosomes; DNA viral load; Viral persistence; HIV; transplant recipients</t>
  </si>
  <si>
    <t>TORQUE-TENO-VIRUS; HUMAN-IMMUNODEFICIENCY-VIRUS; TT-VIRUS; EXTRACELLULAR VESICLES; HUMAN ANELLOVIRUSES; URANYL ACETATE; HUMAN VIROME; HEPATITIS; INFECTION; CELLS</t>
  </si>
  <si>
    <t>Background: Torquetenovirus (TTV) belongs to Anelloviridae family, infects nearly all people indefinitely without causing overt disease establishing a fine and successful interaction with the host. Increasing evidence have shown some human viruses exploit extracellular vesicles thereby helping viral persistence in the host. Here, the presence of TTV in extracellular vesicles circulating in human plasma was investigated. Methods: TTV DNA was quantified in plasma-derived exosomes from 122 samples collected from 97 diseased patients and 25 healthy donors. Exosomes enriched vesicles (EEVs) were extracted from plasma and characterized by Nanoparticle tracking analysis, by western blot for presence of tetraspanin CD63, CD81 and annexin II protein and, finally, by electron microscopy (EM). Presence and quantitation of TTV DNA were assessed with an universal single step real-time TaqMan PCR assay. Results: Preliminary investigation showed that the human plasma extracted extracellular vesicles exhibited a main size of 70 nm, had concentration of 2.5 x 10(9)/ml, and scored positive for tetraspanin CD63, CD81 and annexin II, typical characteristic of the exosomes vesicles. EEVs extracted from pooled plasma with TTV DNA viremia of 9.7 x 10(4) copies/ml showed to contain 6.3 x 10(2) TTV copies/ml, corresponding to 0.65% of total viral load. Important TTV yield changed significantly following freezing/thawing, detergents and DNAse treatment of plasma before EEVs extraction. EEVs purified by sucrose-density gradient centrifugation and analysis of gradient fraction positive for exosomes marker CD63 harbored 10(2) TTV copies/ml. Moreover, EM evidenced the presence of TTV-like particles in EEVs. Successive investigation of plasma EEVs from 122 subjects (37 HIV-positive, 20 HCV infected, 20 HBV infected, 20 kidney transplant recipients, and 25 healthy) reported TTV DNA detection in 42 (34%) of the viremic samples (37 were from diseased patients and 5 from healthy people) at a mean level of 4.8 x 10(3) copies/ml. The examination of EEVs selected samples reported the presence of TTV genogroup 1, 3, 4 and 5, with genogroup 3 highly observed. Conclusions: Collectively, although these observations should be confirmed by further studies, circulation of TTV particles in EEVs opens new avenues and mechanistic insights on the molecular strategies adopted by anelloviruses to persist in the host.</t>
  </si>
  <si>
    <t>[Martelli, Francesco; Guasti, Daniele; Romagnoli, Paolo; Giannecchini, Simone] Univ Florence, Dept Expt &amp; Clin Med, Viale Morgagni 48, I-150134 Florence, Italy; [Macera, Lisa; Spezia, Pietro Giorgio; Medici, Chiara; Pistello, Mauro; Maggi, Fabrizio] Pisa Univ Hosp, Virol Unit, Pisa, Italy; [Macera, Lisa; Spezia, Pietro Giorgio; Pistello, Mauro] Univ Pisa, Retrovirus Ctr &amp; Virol Sect, Dept Translat Res, Pisa, Italy</t>
  </si>
  <si>
    <t>University of Florence; University of Pisa; Azienda Ospedaliero Universitaria Pisana; University of Pisa</t>
  </si>
  <si>
    <t>Giannecchini, S (corresponding author), Univ Florence, Dept Expt &amp; Clin Med, Viale Morgagni 48, I-150134 Florence, Italy.</t>
  </si>
  <si>
    <t>simone.giannecchini@unifi.it</t>
  </si>
  <si>
    <t>Maggi, Fabrizio/AAU-5965-2021; MEDICI, CHIARA/AAC-8734-2022; Maggi, Fabrizio/L-2974-2013; Giannecchini, Simone/K-2136-2016; Pistello, Mauro/AAD-4214-2022; Romagnoli, Paolo/AAJ-9636-2020</t>
  </si>
  <si>
    <t>Maggi, Fabrizio/0000-0001-7489-5271; Maggi, Fabrizio/0000-0001-7489-5271; Giannecchini, Simone/0000-0003-3374-7621; Medici, Chiara/0000-0002-7348-9674; Spezia, Pietro Giorgio/0000-0002-6743-014X; DANIELE, GUASTI/0000-0002-2856-6829</t>
  </si>
  <si>
    <t>1743-422X</t>
  </si>
  <si>
    <t>SEP 20</t>
  </si>
  <si>
    <t>10.1186/s12985-018-1055-y</t>
  </si>
  <si>
    <t>Virology</t>
  </si>
  <si>
    <t>WOS:000445244400001</t>
  </si>
  <si>
    <t>Vagner, T; Spinelli, C; Minciacchi, VR; Balaj, L; Zandian, M; Conley, A; Zijlstra, A; Freeman, MR; Demichelis, F; De, S; Posadas, EM; Tanaka, H; Di Vizio, D</t>
  </si>
  <si>
    <t>Vagner, Tatyana; Spinelli, Cristiana; Minciacchi, Valentina R.; Balaj, Leonora; Zandian, Mandana; Conley, Andrew; Zijlstra, Andries; Freeman, Michael R.; Demichelis, Francesca; De, Subhajyoti; Posadas, Edwin M.; Tanaka, Hisashi; Di Vizio, Dolores</t>
  </si>
  <si>
    <t>Large extracellular vesicles carry most of the tumour DNA circulating in prostate cancer patient plasma</t>
  </si>
  <si>
    <t>JOURNAL OF EXTRACELLULAR VESICLES</t>
  </si>
  <si>
    <t>DNA; L-EVs; S-EVs; plasma; prostate cancer; liquid biopsy</t>
  </si>
  <si>
    <t>DOUBLE-STRANDED DNA; LARGE ONCOSOMES; METASTATIC-DISEASE; PANCREATIC-CANCER; EXOSOMES; MICROVESICLES; PROGRESSION; SECRETION; KRAS; RAS</t>
  </si>
  <si>
    <t>Cancer-derived extracellular vesicles (EVs) are membrane-enclosed structures of highly variable size. EVs contain a myriad of substances (proteins, lipid, RNA, DNA) that provide a reservoir of circulating molecules, thus offering a good source of biomarkers. We demonstrate here that large EVs (L-EV) (large oncosomes) isolated from prostate cancer (PCa) cells and patient plasma are an EV population that is enriched in chromosomal DNA, including large fragments up to 2 million base pair long. While L-EVs and small EVs (S-EV) (exosomes) isolated from the same cells contained similar amounts of protein, the DNA was more abundant in L-EV, despite S-EVs being more numerous. Consistent with in vitro observations, the abundance of DNA in L-EV obtained from PCa patient plasma was variable but frequently high. Conversely, negligible amounts of DNA were present in the S-EVs from the same patients. Controlled experimental conditions, with spike-ins of L-EVs and S-EVs from cancer cells in human plasma from healthy subjects, showed that circulating DNA is almost exclusively enclosed in L-EVs. Whole genome sequencing revealed that the DNA in L-EVs reflects genetic aberrations of the cell of origin, including copy number variations of genes frequently altered in metastatic PCa (i.e. MYC, AKT1, PTK2, KLF10 and PTEN). These results demonstrate that L-EV-derived DNA reflects the genomic make-up of the tumour of origin. They also support the conclusion that L-EVs are the fraction of plasma EVs with DNA content that should be interrogated for tumour-derived genomic alterations.</t>
  </si>
  <si>
    <t>[Vagner, Tatyana; Spinelli, Cristiana; Minciacchi, Valentina R.; Zandian, Mandana; Freeman, Michael R.; Tanaka, Hisashi; Di Vizio, Dolores] Cedars Sinai Med Ctr, Dept Biomed Sci, Div Canc Biol &amp; Therapeut, Los Angeles, CA 90048 USA; [Vagner, Tatyana; Spinelli, Cristiana; Minciacchi, Valentina R.; Zandian, Mandana; Conley, Andrew; Freeman, Michael R.; Di Vizio, Dolores] Cedars Sinai Med Ctr, Dept Pathol &amp; Lab Med, Div Canc Biol &amp; Therapeut, Los Angeles, CA 90048 USA; [Vagner, Tatyana; Spinelli, Cristiana; Minciacchi, Valentina R.; Zandian, Mandana; Freeman, Michael R.; Tanaka, Hisashi; Di Vizio, Dolores] Cedars Sinai Med Ctr, Samuel Oschin Comprehens Canc Inst, Div Canc Biol &amp; Therapeut, Los Angeles, CA 90048 USA; [Vagner, Tatyana; Spinelli, Cristiana; Minciacchi, Valentina R.; Zandian, Mandana; Freeman, Michael R.; Tanaka, Hisashi; Di Vizio, Dolores] Cedars Sinai Med Ctr, Dept Surg, Div Canc Biol &amp; Therapeut, Los Angeles, CA 90048 USA; [Minciacchi, Valentina R.] Georg Speyer Haus, Inst Tumor Biol &amp; Expt Therapy, Frankfurt, Germany; [Balaj, Leonora] Harvard Med Sch, Massachusetts Gen Hosp, Program Neurosci, Dept Neurol, Boston, MA USA; [Zijlstra, Andries] Vanderbilt Univ, Med Ctr, Dept Pathol Microbiol &amp; Immunol, Nashville, TN USA; [Freeman, Michael R.] Univ Calif Los Angeles, Dept Med, Los Angeles, CA 90024 USA; [Demichelis, Francesca] Univ Trento, Ctr Integrat Biol, Trento, Italy; [De, Subhajyoti] Rutgers State Univ, Rutgers Canc Inst, Dept Pathol &amp; Lab Med, New Brunswick, NJ USA; [Posadas, Edwin M.] Cedars Sinai Med Ctr, Samuel Oschin Comprehens Canc Inst, Urol Oncol Program, Los Angeles, CA 90048 USA; [Posadas, Edwin M.] Cedars Sinai Med Ctr, Samuel Oschin Comprehens Canc Inst, Urooncol Res Labs, Los Angeles, CA 90048 USA; [Spinelli, Cristiana] McGill Univ, Hlth Ctr, Res Inst, Dept Pediat, Montreal, PQ, Canada</t>
  </si>
  <si>
    <t>Cedars Sinai Medical Center; Cedars Sinai Medical Center; Cedars Sinai Medical Center; Cedars Sinai Medical Center; Octapharma; Harvard University; Harvard Medical School; Massachusetts General Hospital; Vanderbilt University; University of California System; University of California Los Angeles; University of Trento; Rutgers State University New Brunswick; Rutgers State University Medical Center; Rutgers Cancer Institute of New Jersey; Cedars Sinai Medical Center; Cedars Sinai Medical Center; McGill University</t>
  </si>
  <si>
    <t>Di Vizio, D (corresponding author), Cedars Sinai Med Ctr, Dept Biomed Sci, Div Canc Biol &amp; Therapeut, Los Angeles, CA 90048 USA.</t>
  </si>
  <si>
    <t>dolores.divizio@cshs.org</t>
  </si>
  <si>
    <t>Vagner, Tatyana/AAQ-4075-2020; Demichelis, Francesca/J-9829-2016</t>
  </si>
  <si>
    <t>Demichelis, Francesca/0000-0002-8266-8631; Balaj, Leonora/0000-0003-0931-9715; Tanaka, Hisashi/0000-0001-9223-4186</t>
  </si>
  <si>
    <t>2001-3078</t>
  </si>
  <si>
    <t>AUG 7</t>
  </si>
  <si>
    <t>10.1080/20013078.2018.1505403</t>
  </si>
  <si>
    <t>Cell Biology</t>
  </si>
  <si>
    <t>Y</t>
  </si>
  <si>
    <t>N</t>
  </si>
  <si>
    <t>WOS:000441055200001</t>
  </si>
  <si>
    <t>Lazaro-Ibanez, E; Sanz-Garcia, A; Visakorpi, T; Escobedo-Lucea, C; Siljander, P; Ayuso-Sacido, A; Yliperttula, M</t>
  </si>
  <si>
    <t>Lazaro-Ibanez, Elisa; Sanz-Garcia, Andres; Visakorpi, Tapio; Escobedo-Lucea, Carmen; Siljander, Pia; Ayuso-Sacido, Angel; Yliperttula, Marjo</t>
  </si>
  <si>
    <t>Different gDNA Content in the Subpopulations of Prostate Cancer Extracellular Vesicles: Apoptotic Bodies, Microvesicles, and Exosomes</t>
  </si>
  <si>
    <t>PROSTATE</t>
  </si>
  <si>
    <t>HORIZONTAL TRANSFER; PROGENITOR CELLS; MICRORNAS; GENE; RNA</t>
  </si>
  <si>
    <t>BACKGROUND. Extracellular vesicles (EVs) are cell-derived membrane vesicles. EVs contain several RNAs such as mRNA, microRNAs, and ncRNAs, but less is known of their genomic DNA (gDNA) content. It is also unknown whether the DNA cargo is randomly sorted or if it is systematically packed into specific EV subpopulations. The aim of this study was to analyze whether different prostate cancer (PCa) cell-derived EV subpopulations (apoptotic bodies, microvesicles, and exosomes) carry different gDNA fragments. METHODS. EV subpopulations were isolated from three PCa cell lines (LNCaP, PC-3, and RC92a/hTERT) and the plasma of PCa patients and healthy donors, and characterized by transmission electron microscopy, nanoparticle tracking analysis and total protein content. gDNA fragments of different genes were detected by real time quantitative PCR and confirmed by DNA sequencing. RESULTS. We report that the concentration of EVs was higher in the cancer patients than in the healthy controls. EV subpopulations differed from each other in terms of total protein and DNA content. Analysis of gDNA fragments of MLH1, PTEN, and TP53 genes from the PCa cell-derived EV subpopulations showed that different EVs carried different gDNA content, which could even harbor specific mutations. Altogether, these results suggest that both nucleic acids and proteins are selectively and cell-dependently packed into the EV subtypes. CONCLUSIONS. EVs derived from PCa cell lines and human plasma samples contain double-stranded gDNA fragments which could be used to detect specific mutations, making EVs potential biomarkers for cancer diagnostics and prognostics. (C) 2014 The Authors. The Prostate published by Wiley Periodicals, Inc.</t>
  </si>
  <si>
    <t>[Lazaro-Ibanez, Elisa; Sanz-Garcia, Andres; Escobedo-Lucea, Carmen; Siljander, Pia; Ayuso-Sacido, Angel; Yliperttula, Marjo] Univ Helsinki, Div Pharmaceut Biosci, Fac Pharm, Helsinki, Finland; [Visakorpi, Tapio] Univ Tampere, Inst Biomed Technol &amp; BioMediTech, FIN-33101 Tampere, Finland; [Visakorpi, Tapio] Tampere Univ Hosp, Tampere, Finland; [Siljander, Pia] Univ Helsinki, Dept Biosci, Div Biochem &amp; Biotechnol, Helsinki, Finland; [Ayuso-Sacido, Angel] Fdn Hosp Madrid, IMMA CIOCC, Madrid, Spain</t>
  </si>
  <si>
    <t>University of Helsinki; Tampere University; Tampere University; Tampere University Hospital; University of Helsinki</t>
  </si>
  <si>
    <t>Yliperttula, M (corresponding author), Univ Helsinki, Div Pharmaceut Biosci, Fac Pharm, Helsinki, Finland.</t>
  </si>
  <si>
    <t>ayusosacido@fundacionhm.com; marjo.yliperttula@helsinki.fi</t>
  </si>
  <si>
    <t>Lucea, Carmen Escobedo/X-8015-2019; Sanz-Garcia, Andres/F-7981-2012; Sacido, Angel Ayuso/AAV-9331-2021; Escobedo-Lucea, Carmen/J-2846-2013</t>
  </si>
  <si>
    <t>Sanz-Garcia, Andres/0000-0003-0413-4965; Sacido, Angel Ayuso/0000-0003-3919-5880; Escobedo-Lucea, Carmen/0000-0002-5642-0536; Siljander, Pia/0000-0003-2326-5821; Lazaro-Ibanez, Elisa/0000-0002-3542-7069; Visakorpi, Tapio/0000-0002-5004-0364</t>
  </si>
  <si>
    <t>0270-4137</t>
  </si>
  <si>
    <t>1097-0045</t>
  </si>
  <si>
    <t>OCT</t>
  </si>
  <si>
    <t>10.1002/pros.22853</t>
  </si>
  <si>
    <t>Endocrinology &amp; Metabolism; Urology &amp; Nephrology</t>
  </si>
  <si>
    <t>WOS:000341019400003</t>
  </si>
  <si>
    <t>Fruhbeis, C; Helmig, S; Tug, S; Simon, P; Kramer-Albers, EM</t>
  </si>
  <si>
    <t>Fruehbeis, Carsten; Helmig, Susanne; Tug, Suzan; Simon, Perikles; Kraemer-Albers, Eva-Maria</t>
  </si>
  <si>
    <t>Physical exercise induces rapid release of small extracellular vesicles into the circulation</t>
  </si>
  <si>
    <t>extracellular vesicles; exosomes; exercise; ergometer cycling; treadmill running; plasma; Hsp70; Flotillin</t>
  </si>
  <si>
    <t>CELL-FREE DNA; PLATELET-DERIVED MICROPARTICLES; POSITION STATEMENT; BLOOD LACTATE; PROCOAGULANT MICROPARTICLES; MULTIVESICULAR BODIES; THROMBIN GENERATION; MEMBRANE-VESICLES; SHEAR-STRESS; EXOSOMES</t>
  </si>
  <si>
    <t>Cells secrete extracellular vesicles (EVs) by default and in response to diverse stimuli for the purpose of cell communication and tissue homeostasis. EVs are present in all body fluids including peripheral blood, and their appearance correlates with specific physiological and pathological conditions. Here, we show that physical activity is associated with the release of nano-sized EVs into the circulation. Healthy individuals were subjected to an incremental exercise protocol of cycling or running until exhaustion, and EVs were isolated from blood plasma samples taken before, immediately after and 90 min after exercise. Small EVs with the size of 100-130 nm, that carried proteins characteristic of exosomes, were significantly increased immediately after cycling exercise and declined again within 90 min at rest. In response to treadmill running, elevation of small EVs was moderate but appeared more sustained. To delineate EV release kinetics, plasma samples were additionally taken at the end of each increment of the cycling exercise protocol. Release of small EVs into the circulation was initiated in an early phase of exercise, before the individual anaerobic threshold, which is marked by the rise of lactate. Taken together, our study revealed that exercise triggers a rapid release of EVs with the characteristic size of exosomes into the circulation, initiated in the aerobic phase of exercise. We hypothesize that EVs released during physical activity may participate in cell communication during exercise-mediated adaptation processes that involve signalling across tissues and organs.</t>
  </si>
  <si>
    <t>[Fruehbeis, Carsten; Kraemer-Albers, Eva-Maria] Johannes Gutenberg Univ Mainz, Mol Cell Biol, Bentzelweg 3, D-55128 Mainz, Germany; [Helmig, Susanne; Tug, Suzan; Simon, Perikles] Johannes Gutenberg Univ Mainz, Dept Sports Med, D-55128 Mainz, Germany</t>
  </si>
  <si>
    <t>Kramer-Albers, EM (corresponding author), Johannes Gutenberg Univ Mainz, Mol Cell Biol, Bentzelweg 3, D-55128 Mainz, Germany.</t>
  </si>
  <si>
    <t>simonpe@uni-mainz.de; alberse@uni-mainz.de</t>
  </si>
  <si>
    <t>Simon, Perikles D/B-2293-2013; Eva-Maria, Kraemer-Albers/AAP-8805-2020</t>
  </si>
  <si>
    <t>Simon, Perikles D/0000-0002-7996-4034; Eva-Maria, Kraemer-Albers/0000-0001-7994-1185</t>
  </si>
  <si>
    <t>10.3402/jev.v4.28239</t>
  </si>
  <si>
    <t>WOS:000365074800001</t>
  </si>
  <si>
    <t>Choi, D; Rak, J; Gho, YS</t>
  </si>
  <si>
    <t>Posch, A</t>
  </si>
  <si>
    <t>Choi, Dongsic; Rak, Janusz; Gho, Yong Song</t>
  </si>
  <si>
    <t>Isolation of Extracellular Vesicles for Proteomic Profiling</t>
  </si>
  <si>
    <t>PROTEOMIC PROFILING, 2 EDITION: Methods and Protocols</t>
  </si>
  <si>
    <t>Exosomes; Ectosomes; Microvesicles; Proteomics; Iodixanol; Extracellular vesicle-depleted; Ultracentrifugation; Methanol/chloroform precipitation; Biomarker</t>
  </si>
  <si>
    <t>EXOSOMES; PROTEIN</t>
  </si>
  <si>
    <t>Extracellular vesicles (EVs) are nano-sized lipid bilayer surrounded by structures released from most cells, including archaea, bacteria, and eukaryotic cells. EVs play multiple roles in cell-to-cell communication, including immune modulation, angiogenesis, and phenotypic transformation of cells by transferring genetic material and functional proteins. They contain specific subsets of proteins, DNA, RNA, and lipids that represent their cellular origin. Furthermore, EVs are enriched in cell type- or disease-specific proteins, especially plasma membrane proteins, which have pathophysiological functions; many of these vesicular proteins are investigated as novel diagnostic biomarkers, as well as therapeutic targets. To profile the global EV proteome, their various purification methods have been developed, of which density gradient ultracentrifugation is considered especially promising. In this chapter, we describe the isolation of EVs derived from SW480 cells with serum-free media and from U373 cells with EV-depleted serum-containing media, and the preparation of tryptic peptides for mass-spectrometry-based proteomic analysis.</t>
  </si>
  <si>
    <t>[Choi, Dongsic; Rak, Janusz] McGill Univ, Ctr Hlth, Res Inst, Glen Site, Montreal, PQ, Canada; [Gho, Yong Song] Pohang Univ Sci Technol, Dept Life Sci, Pohang, South Korea</t>
  </si>
  <si>
    <t>McGill University; Pohang University of Science &amp; Technology (POSTECH)</t>
  </si>
  <si>
    <t>Choi, D (corresponding author), McGill Univ, Ctr Hlth, Res Inst, Glen Site, Montreal, PQ, Canada.</t>
  </si>
  <si>
    <t>Choi, Dongsic/0000-0002-2516-5616</t>
  </si>
  <si>
    <t>978-1-0716-1186-9; 978-1-0716-1185-2</t>
  </si>
  <si>
    <t>10.1007/978-1-0716-1186-9_11</t>
  </si>
  <si>
    <t>10.1007/978-1-0716-1186-9</t>
  </si>
  <si>
    <t>Biochemical Research Methods; Biochemistry &amp; Molecular Biology</t>
  </si>
  <si>
    <t>WOS:000688758500012</t>
  </si>
  <si>
    <t>Garcia-Romero, N; Carrion-Navarro, J; Esteban-Rubio, S; Lazaro-Ibanez, E; Peris-Celda, M; Alonso, MM; Guzman-De-Villoria, J; Fernandez-Carballal, C; de Mendivil, AO; Garcia-Duque, S; Escobedo-Lucea, C; Prat-Acin, R; Belda-Iniesta, C; Ayuso-Sacido, A</t>
  </si>
  <si>
    <t>Garcia-Romero, Noemi; Carrion-Navarro, Josefa; Esteban-Rubio, Susana; Lazaro-Ibanez, Elisa; Peris-Celda, Maria; Alonso, Marta M.; Guzman-De-Villoria, Juan; Fernandez-Carballal, Carlos; Ortiz de Mendivil, Ana; Garcia-Duque, Sara; Escobedo-Lucea, Carmen; Prat-Acin, Ricardo; Belda-Iniesta, Cristobal; Ayuso-Sacido, Angel</t>
  </si>
  <si>
    <t>DNA sequences within glioma-derived extracellular vesicles can cross the intact blood-brain barrier and be detected in peripheral blood of patients</t>
  </si>
  <si>
    <t>ONCOTARGET</t>
  </si>
  <si>
    <t>extracellular vesicles; brain tumors; blood-brain barrier; biomarkers</t>
  </si>
  <si>
    <t>CODON 132 MUTATION; HUMAN GLIOBLASTOMA; MESSENGER-RNA; MICROVESICLES; EXOSOMES; CANCER; CELLS; TUMORS; MICROPARTICLES; PARTICLES</t>
  </si>
  <si>
    <t>Tumor-cell-secreted extracellular vesicles (EVs) can cross the disrupted bloodbrain barrier (BBB) into the bloodstream. However, in certain gliomas, the BBB remains intact, which might limit EVs release. To evaluate the ability of tumor-derived EVs to cross the BBB, we used an orthotopic xenotransplant mouse model of human glioma-cancer stem cells featuring an intact BBB. We demonstrated that all types of tumor cells-derived EVs-apoptotic bodies, shedding microvesicles and exosomes-cross the intact BBB and can be detected in the peripheral blood, which provides a minimally invasive method for their detection compared to liquid biopsies obtained from cerebrospinal fluid (CSF). Furthermore, these EVs can be readily distinguished from total murine EVs, since they carry human-specific DNA sequences relevant for GBM biology. In a small cohort of glioma patients, we finally demonstrated that peripheral blood EVs cargo can be successfully used to detect the presence of IDH1(G395A), an essential biomarker in the current management of human glioma</t>
  </si>
  <si>
    <t>[Garcia-Romero, Noemi; Carrion-Navarro, Josefa; Esteban-Rubio, Susana; Ortiz de Mendivil, Ana; Garcia-Duque, Sara; Belda-Iniesta, Cristobal; Ayuso-Sacido, Angel] HM Hosp, Fdn Invest HM Hosp, Madrid, Spain; [Garcia-Romero, Noemi; Ayuso-Sacido, Angel] IMDEA Nanosci, Madrid, Spain; [Carrion-Navarro, Josefa; Esteban-Rubio, Susana; Belda-Iniesta, Cristobal; Ayuso-Sacido, Angel] Univ San Pablo, CEU, Fac Med IMMA, Madrid, Spain; [Lazaro-Ibanez, Elisa; Escobedo-Lucea, Carmen] Univ Helsinki, Fac Pharm, Div Pharmaceut Biosci, Helsinki, Finland; [Peris-Celda, Maria] Univ Pittsburgh, Sch Med, Dept Neurolog Surg, Pittsburgh, PA USA; [Alonso, Marta M.] Clin Univ Navarra, CIMA, Pamplona, Spain; [Guzman-De-Villoria, Juan] Univ Gregorio Maranon, Gen Hosp, Serv Radiodiagnost, Madrid, Spain; [Fernandez-Carballal, Carlos] Univ Gregorio Maranon, Gen Hosp, Serv Neurocirugia, Madrid, Spain; [Prat-Acin, Ricardo] Hosp Univ Fe, Dept Neurocirugia, Valencia, Spain</t>
  </si>
  <si>
    <t>IMDEA Nanociencia; San Pablo CEU University; University of Helsinki; Pennsylvania Commonwealth System of Higher Education (PCSHE); University of Pittsburgh; University of Navarra; General University Gregorio Maranon Hospital; General University Gregorio Maranon Hospital</t>
  </si>
  <si>
    <t>Ayuso-Sacido, A (corresponding author), HM Hosp, Fdn Invest HM Hosp, Madrid, Spain.;Ayuso-Sacido, A (corresponding author), IMDEA Nanosci, Madrid, Spain.;Ayuso-Sacido, A (corresponding author), Univ San Pablo, CEU, Fac Med IMMA, Madrid, Spain.</t>
  </si>
  <si>
    <t>ayusosacido@gmail.com</t>
  </si>
  <si>
    <t>Alonso, Marta M/AAI-9457-2020; Sacido, Angel Ayuso/AAV-9331-2021; Lucea, Carmen Escobedo/X-8015-2019; Adan, Guzman-De-Villoria Juan/AAY-5733-2020</t>
  </si>
  <si>
    <t>Alonso, Marta M/0000-0002-7520-7351; Sacido, Angel Ayuso/0000-0003-3919-5880; Ortiz de Mendivil, Ana/0000-0002-3567-7041; Carrion-Navarro, Josefa/0000-0001-6661-1240; Guzman-De-Villoria, Juan Adan/0000-0003-3653-0065; GARCIA-ROMERO, NOEMI/0000-0001-7744-8848; Lazaro-Ibanez, Elisa/0000-0002-3542-7069</t>
  </si>
  <si>
    <t>1949-2553</t>
  </si>
  <si>
    <t>JAN 3</t>
  </si>
  <si>
    <t>10.18632/oncotarget.13635</t>
  </si>
  <si>
    <t>Oncology; Cell Biology</t>
  </si>
  <si>
    <t>WOS:000391503300110</t>
  </si>
  <si>
    <t>Chen, WW; Balaj, L; Liau, LM; Samuels, ML; Kotsopoulos, SK; Maguire, CA; LoGuidice, L; Soto, H; Garrett, M; Zhu, LD; Sivaraman, S; Chen, C; Wong, ET; Carter, BS; Hochberg, FH; Breakefield, XO; Skog, J</t>
  </si>
  <si>
    <t>Chen, Walter W.; Balaj, Leonora; Liau, Linda M.; Samuels, Michael L.; Kotsopoulos, Steve K.; Maguire, Casey A.; LoGuidice, Lori; Soto, Horacio; Garrett, Matthew; Zhu, Lin Dan; Sivaraman, Sarada; Chen, Clark; Wong, Eric T.; Carter, Bob S.; Hochberg, Fred H.; Breakefield, Xandra O.; Skog, Johan</t>
  </si>
  <si>
    <t>BEAMing and Droplet Digital PCR Analysis of Mutant IDH1 mRNA in Glioma Patient Serum and Cerebrospinal Fluid Extracellular Vesicles</t>
  </si>
  <si>
    <t>MOLECULAR THERAPY-NUCLEIC ACIDS</t>
  </si>
  <si>
    <t>BEAMing PCR; biomarkers; cancer; extracellular vesicles; droplet digital PCR</t>
  </si>
  <si>
    <t>INTEGRATED GENOMIC ANALYSIS; COLORECTAL-CANCER; GLIOBLASTOMA-MULTIFORME; CLINICAL-SAMPLES; TUMOR DNA; MUTATIONS; MICROVESICLES; BIOMARKERS; SEQUENCES; BREAST</t>
  </si>
  <si>
    <t>Development of biofluid-based molecular diagnostic tests for cancer is an important step towards tumor characterization and real-time monitoring in a minimally invasive fashion. Extracellular vesicles (EVs) are released from tumor cells into body fluids and can provide a powerful platform for tumor biomarkers because they carry tumor proteins and nucleic acids. Detecting rare point mutations in the background of wild-type sequences in biofluids such as blood and cerebrospinal fluid (CSF) remains a major challenge. Techniques such as BEAMing (beads, emulsion, amplification, magnetics) PCR and droplet digital PCR (ddPCR) are substantially more sensitive than many other assays for mutant sequence detection. Here, we describe a novel approach that combines biofluid EV RNA and BEAMing RT-PCR (EV-BEAMing), as well droplet digital PCR to interrogate mutations from glioma tumors. EVs from CSF of patients with glioma were shown to contain mutant IDH1 transcripts, and we were able to reliably detect and quantify mutant and wild-type IDH1 RNA transcripts in CSF of patients with gliomas. EV-BEAMing and EV-ddPCR represent a valuable new strategy for cancer diagnostics, which can be applied to a variety of biofluids and neoplasms.</t>
  </si>
  <si>
    <t>[Chen, Walter W.; Balaj, Leonora; Maguire, Casey A.; Zhu, Lin Dan; Sivaraman, Sarada; Hochberg, Fred H.; Breakefield, Xandra O.] Massachusetts Gen Hosp, Dept Neurol, Boston, MA 02114 USA; [Chen, Walter W.; Balaj, Leonora; Maguire, Casey A.; Zhu, Lin Dan; Sivaraman, Sarada; Hochberg, Fred H.; Breakefield, Xandra O.] Harvard Univ, Sch Med, Neurosci Program, Boston, MA 02115 USA; [Chen, Walter W.; Maguire, Casey A.; Zhu, Lin Dan; Sivaraman, Sarada; Hochberg, Fred H.; Breakefield, Xandra O.] Massachusetts Gen Hosp, Dept Radiol, Boston, MA 02114 USA; [Chen, Walter W.] Harvard Univ, Sch Med, Harvard Mit Div Hlth Sci &amp; Technol, Boston, MA USA; [Balaj, Leonora] Amsterdam Canc Ctr, Neurooncol Res Grp, Amsterdam, Netherlands; [Liau, Linda M.; Soto, Horacio; Garrett, Matthew] Univ Calif Los Angeles, David Geffen Sch Med, Med Ctr, Dept Neurosurg, Los Angeles, CA 90095 USA; [Samuels, Michael L.; Kotsopoulos, Steve K.] RainDance Technol, Lexington, MA USA; [LoGuidice, Lori; Skog, Johan] Exosome Diagnost Inc, New York, NY USA; [Chen, Clark; Wong, Eric T.] Beth Israel Deaconess Med Ctr, Brain Tumor Ctr, Boston, MA 02215 USA; [Chen, Clark; Wong, Eric T.] Beth Israel Deaconess Med Ctr, Neurooncol Unit, Boston, MA 02215 USA; [Chen, Clark; Carter, Bob S.] Univ Calif San Diego, Dept Neurosurg, San Diego, CA 92103 USA</t>
  </si>
  <si>
    <t>Harvard University; Massachusetts General Hospital; Harvard University; Harvard University; Massachusetts General Hospital; Harvard University; University of California System; University of California Los Angeles; University of California Los Angeles Medical Center; David Geffen School of Medicine at UCLA; Harvard University; Beth Israel Deaconess Medical Center; Harvard University; Beth Israel Deaconess Medical Center; University of California System; University of California San Diego</t>
  </si>
  <si>
    <t>Breakefield, XO (corresponding author), Massachusetts Gen Hosp East, Mol Neurogenet Unit, 13th St,Bldg 149, Charlestown, MA 02129 USA.</t>
  </si>
  <si>
    <t>breakefield@hms.harvard.edu</t>
  </si>
  <si>
    <t>Carter, Bob/AAB-4868-2021; Chen, Clark C/C-8714-2013</t>
  </si>
  <si>
    <t>Carter, Bob/0000-0002-3586-1324; Chen, Clark C/0000-0001-6258-9277; Liau, Linda/0000-0002-4053-0052; Chen, Walter/0000-0002-7752-9581; Balaj, Leonora/0000-0003-0931-9715; Skog, Johan/0000-0002-0926-1691</t>
  </si>
  <si>
    <t>2162-2531</t>
  </si>
  <si>
    <t>JUL</t>
  </si>
  <si>
    <t>e109</t>
  </si>
  <si>
    <t>10.1038/mtna.2013.28</t>
  </si>
  <si>
    <t>Medicine, Research &amp; Experimental</t>
  </si>
  <si>
    <t>Research &amp; Experimental Medicine</t>
  </si>
  <si>
    <t>WOS:000332467000008</t>
  </si>
  <si>
    <t>Tarnopolsky, MA; Kerkhof, J; Stuart, A; Bujak, A; Nilsson, ML; Hettinga, B; May, L; Rupar, CA; Sadikovic, B</t>
  </si>
  <si>
    <t>Tarnopolsky, Mark A.; Kerkhof, Jennifer; Stuart, Alan; Bujak, Adam; Nilsson, Mats L.; Hettinga, Bart; May, Linda; Rupar, C. Anthony; Sadikovic, Bekim</t>
  </si>
  <si>
    <t>Bone marrow-derived mitochondrial DNA has limited capacity for inter-tissue transfer in vivo</t>
  </si>
  <si>
    <t>FASEB JOURNAL</t>
  </si>
  <si>
    <t>exosomes; extracellular vesicles; microvesicles; mitochondrial transplant; mitochondrial disease</t>
  </si>
  <si>
    <t>SKELETAL-MUSCLE; TRANSPLANTATION; CELLS; PROTECTS; RESCUE; MTDNA; MELAS; ASTROCYTES; VESICLES; EXERCISE</t>
  </si>
  <si>
    <t>Studies have shown that mitochondrial DNA (mtDNA) can be exchanged between tissues; however, the mechanism(s) behind this phenomenon remain unclear. Exosomes and other extracellular vesicles (EVs) including microvesicles (MV) have been shown to contain mtDNA. EVs can be derived from a number of tissues; however, the source and relative proportion of EVs containing mtDNA remains unknown. We sampled whole blood and the EV fractions (exosome-enriched, MV-enriched, and apoptotic body-enriched) as well as several tissues (epithelial-cheek and urine sediment), connective (fibroblasts), and skeletal muscle in two subjects who received allogenic bone marrow transplants. Next generation sequencing of the mtDNA confirmed that all EV fractions contained mtDNA and most was derived from the donor, confirming that most of the EV fractions in the serum are bone marrow/blood cell-derived. Even after exposure to the donor mtDNA in EV fractions (and potentially free in the plasma) for years, there was little to no transfer of the donor mtDNA to the host mtDNA fraction in epithelial, connective, or skeletal muscle tissues. These data call into question the potential therapeutic use of bone marrow transplant or EV-based delivery systems for mtDNA-based disorders and establish bone marrow as the primary source of most of the mtDNA enriched EVs in serum.</t>
  </si>
  <si>
    <t>[Tarnopolsky, Mark A.; Nilsson, Mats L.; May, Linda] McMaster Univ, Dept Pediat, Hamilton, ON L8N 3Z5, Canada; [Kerkhof, Jennifer; Stuart, Alan; Sadikovic, Bekim] London Hlth Sci Ctr, Childrens Hlth Res Inst, Mol Diagnost Div, Mol Genet Lab, London, ON, Canada; [Bujak, Adam; Hettinga, Bart] McMaster Univ, Exerkine Corp, Hamilton, ON, Canada; [Rupar, C. Anthony] Western Univ, Dept Pathol &amp; Lab Med, London, ON, Canada; [Rupar, C. Anthony] Western Univ, Dept Pediat, London, ON, Canada; [Rupar, C. Anthony] Western Univ, Dept Biochem, London, ON, Canada; [Rupar, C. Anthony] Western Univ, Childrens Hlth Res Inst, London, ON, Canada</t>
  </si>
  <si>
    <t>McMaster University; London Health Sciences Centre; McMaster University; Western University (University of Western Ontario); Western University (University of Western Ontario); Western University (University of Western Ontario); Western University (University of Western Ontario)</t>
  </si>
  <si>
    <t>Tarnopolsky, MA (corresponding author), McMaster Univ, Dept Pediat, Hamilton, ON L8N 3Z5, Canada.;Sadikovic, B (corresponding author), London Hlth Sci Ctr, Childrens Hlth Res Inst, Mol Genet Lab, London, ON, Canada.</t>
  </si>
  <si>
    <t>tarnopol@mcmaster.ca; Bekim.Sadikovic@lhsc.on.ca</t>
  </si>
  <si>
    <t>Nilsson, Mats/AAG-2068-2021</t>
  </si>
  <si>
    <t>Nilsson, Mats/0000-0001-5656-5578; Stuart, Alan/0000-0001-6370-8581</t>
  </si>
  <si>
    <t>0892-6638</t>
  </si>
  <si>
    <t>1530-6860</t>
  </si>
  <si>
    <t>10.1096/fj.202000463R</t>
  </si>
  <si>
    <t>MAY 2020</t>
  </si>
  <si>
    <t>Biochemistry &amp; Molecular Biology; Biology; Cell Biology</t>
  </si>
  <si>
    <t>Biochemistry &amp; Molecular Biology; Life Sciences &amp; Biomedicine - Other Topics; Cell Biology</t>
  </si>
  <si>
    <t>WOS:000535411400001</t>
  </si>
  <si>
    <t>Menck, K; Bleckmann, A; Schulz, M; Ries, L; Binder, C</t>
  </si>
  <si>
    <t>Menck, Kerstin; Bleckmann, Annalen; Schulz, Matthias; Ries, Lena; Binder, Claudia</t>
  </si>
  <si>
    <t>Isolation and Characterization of Microvesicles from Peripheral Blood</t>
  </si>
  <si>
    <t>JOVE-JOURNAL OF VISUALIZED EXPERIMENTS</t>
  </si>
  <si>
    <t>Cellular Biology; Issue 119; extracellular vesicles; microvesicles; blood; flow cytometry; biomarkers; liquid biopsy; cancer</t>
  </si>
  <si>
    <t>ENDOTHELIAL MICROPARTICLES; EXTRACELLULAR VESICLES; SERUM EXOSOMES; CANCER; IDENTIFICATION; DNA</t>
  </si>
  <si>
    <t>The release of extracellular vesicles (EVs) including small endosomal-derived exosomes (Exos, diameter &lt; 100 nm) and large plasma membrane-derived microvesicles (MVs, diameter &gt; 100 nm) is a fundamental cellular process that occurs in all living cells. These vesicles transport proteins, lipids and nucleic acids specific for their cell of origin and in vitro studies have highlighted their importance as mediators of intercellular communication. EVs have been successfully isolated from various body fluids and especially EVs in blood have been identified as promising biomarkers for cancer or infectious diseases. In order to allow the study of MV subpopulations in blood, we present a protocol for the standardized isolation and characterization of MVs from peripheral blood samples. MVs are pelleted from EDTA-anticoagulated plasma samples by differential centrifugation and typically possess a diameter of 100 - 600 nm. Due to their larger size, they can easily be studied by flow cytometry, a technique that is routinely used in clinical diagnostics and available in most laboratories. Several examples for quality control assays of the isolated MVs will be given and markers that can be used for the discrimination of different MV subpopulations in blood will be presented.</t>
  </si>
  <si>
    <t>[Menck, Kerstin; Bleckmann, Annalen; Schulz, Matthias; Ries, Lena; Binder, Claudia] Univ Med Ctr Gottingen, Dept Hematol Med Oncol, Gottingen, Germany</t>
  </si>
  <si>
    <t>University of Gottingen</t>
  </si>
  <si>
    <t>Menck, K (corresponding author), Univ Med Ctr Gottingen, Dept Hematol Med Oncol, Gottingen, Germany.</t>
  </si>
  <si>
    <t>kerstin.menck@inserm.fr</t>
  </si>
  <si>
    <t>Menck, Kerstin/AAP-9066-2021</t>
  </si>
  <si>
    <t>Menck, Kerstin/0000-0002-8188-0163</t>
  </si>
  <si>
    <t>1940-087X</t>
  </si>
  <si>
    <t>e55057</t>
  </si>
  <si>
    <t>10.3791/55057</t>
  </si>
  <si>
    <t>Multidisciplinary Sciences</t>
  </si>
  <si>
    <t>Science &amp; Technology - Other Topics</t>
  </si>
  <si>
    <t>WOS:000397847200045</t>
  </si>
  <si>
    <t>Castellano, JJ; Canals, J; Han, B; Diaz, T; Monzo, M; Navarro, A</t>
  </si>
  <si>
    <t>Navarro, A</t>
  </si>
  <si>
    <t>Castellano, Joan J.; Canals, Jordi; Han, Bing; Diaz, Tania; Monzo, Mariano; Navarro, Alfons</t>
  </si>
  <si>
    <t>LncRNA Quantification from Extracellular Vesicles Isolated from Blood Plasma or Conditioned Media</t>
  </si>
  <si>
    <t>LONG NON-CODING RNAS IN CANCER</t>
  </si>
  <si>
    <t>Extracellular vesicles; Exosomes; Biofluids; Liquid Biopsy; lncRNA; Plasma; Conditioned media</t>
  </si>
  <si>
    <t>EXOSOMES; RNA; NORMALIZATION; BIOGENESIS; RESISTANCE; SECRETION; CELLS</t>
  </si>
  <si>
    <t>During the last years, the study of extracellular vesicles (EVs) and its cargo has gained interest in the scientific media. EVs have been found in all biofluids and it is postulated that all cells are capable to secrete a wide variety of these vesicles, which play a key role in different cell-to-cell communication processes as well as in the microenvironment modulation. In the EV cargo, DNA, protein, and RNA molecules can be found, including long noncoding RNAs (lncRNAs). Several authors consider the study of EV lncRNAs an ideal source of biomarkers due to the easy sampling of EVs in different biofluids and the high specificity of the lncRNA expression pattern. In the present chapter, a detailed explanation of the EV isolation workflow followed by RNA isolation and lncRNA gene expression study is provided for two sample sources: blood plasma and cell culture conditioned media. EVs from both plasma samples and cell cultured media are isolated using sequential ultracentrifugation method (UC), which has been reported as one of the best methods available to date in terms of purity. UC is followed by RNA extraction based on the combination of phenol/guanidine-based lysis of samples with silica-membrane-based purification of total RNA. LncRNA quantification is performed by qRT-PCR. This chapter includes detailed discussion on lncRNA quantification using hydrolysis probes, recommended housekeeping genes and evaluation of methods for comparing lncRNA levels between EVs and its parental cells. In summary, we describe here the main steps for a successful isolation of the EVs-lncRNA cargo, paying attention to how overcome the different challenges found in the experimental procedure and in the data analysis of lncRNA expression from this source.</t>
  </si>
  <si>
    <t>[Castellano, Joan J.; Canals, Jordi; Han, Bing; Diaz, Tania; Monzo, Mariano; Navarro, Alfons] Univ Barcelona, Fac Med &amp; Hlth Sci, IDIBAPS, Mol Oncol &amp; Embryol Lab,Human Anat Unit, Barcelona, Spain; [Monzo, Mariano; Navarro, Alfons] Hosp Clin Barcelona, Thorac Oncol Unit, Barcelona, Spain</t>
  </si>
  <si>
    <t>University of Barcelona; Hospital Clinic de Barcelona; IDIBAPS; University of Barcelona; Hospital Clinic de Barcelona</t>
  </si>
  <si>
    <t>Castellano, JJ (corresponding author), Univ Barcelona, Fac Med &amp; Hlth Sci, IDIBAPS, Mol Oncol &amp; Embryol Lab,Human Anat Unit, Barcelona, Spain.</t>
  </si>
  <si>
    <t>Canals, Jordi/CAG-7470-2022; Navarro, Alfons/C-2453-2015</t>
  </si>
  <si>
    <t>Canals, Jordi/0000-0002-8309-6073; Navarro, Alfons/0000-0001-6071-0926</t>
  </si>
  <si>
    <t>978-1-0716-1581-2; 978-1-0716-1580-5</t>
  </si>
  <si>
    <t>10.1007/978-1-0716-1581-2_20</t>
  </si>
  <si>
    <t>10.1007/978-1-0716-1581-2</t>
  </si>
  <si>
    <t>WOS:000684293500021</t>
  </si>
  <si>
    <t>Bryzgunova, OE; Zaripov, MM; Skvortsova, TE; Lekchnov, EA; Grigor'eva, AE; Zaporozhchenko, IA; Morozkin, ES; Ryabchikova, EI; Yurchenko, YB; Voitsitskiy, VE; Laktionov, PP</t>
  </si>
  <si>
    <t>Bryzgunova, Olga E.; Zaripov, Marat M.; Skvortsova, Tatyana E.; Lekchnov, Evgeny A.; Grigor'eva, Alina E.; Zaporozhchenko, Ivan A.; Morozkin, Evgeny S.; Ryabchikova, Elena I.; Yurchenko, Yuri B.; Voitsitskiy, Vladimir E.; Laktionov, Pavel P.</t>
  </si>
  <si>
    <t>Comparative Study of Extracellular Vesicles from the Urine of Healthy Individuals and Prostate Cancer Patients</t>
  </si>
  <si>
    <t>PLOS ONE</t>
  </si>
  <si>
    <t>CIRCULATING MICRORNA; BIOMARKER DISCOVERY; EXOSOMES; IDENTIFICATION; MICROVESICLES; KIDNEY; CELLS; DNA; EXOSOMES/MICROVESICLES; QUANTIFICATION</t>
  </si>
  <si>
    <t>Recent studies suggest that extracellular vesicles may be the key to timely diagnosis and monitoring of genito-urological malignancies. In this study we investigated the composition and content of extracellular vesicles found in the urine of healthy donors and prostate cancer patients. Urine of 14 PCa patients and 20 healthy volunteers was clarified by low-speed centrifugation and total extracellular vesicles fraction was obtain by high-speed centrifugation. The exosome-enriched fraction was obtained by filtration of total extracellular vesicles through a 0.1 mu m pore filter. Transmission electron microscopy showed that cell-free urine in both groups contained vesicles from 20 to 230 nm. Immunogold staining after ultrafiltration demonstrated that 95% and 90% of extracellular vesicles in healthy individuals and cancer patients, respectively, were exosomes. Protein, DNA and RNA concentrations as well as size distribution of extracellular vesicles in both fractions were analyzed. Only 75% of the total protein content of extracellular vesicles was associated with exosomes which amounted to 90-95% of all vesicles. Median DNA concentrations in total extracellular vesicles and exosome-enriched fractions were 18 pg/ml and 2.6 pg/ml urine, correspondingly. Urine extracellular vesicles carried a population of RNA molecules 25 nt to 200 nt in concentration of no more than 290 pg/ml of urine. Additionally, concentrations of miR-19b, miR-25, miR-125b, and miR-205 were quantified by qRT-PCR. MiRNAs were shown to be differently distributed between different fractions of extracellular vesicles. Detection of miR-19b versus miR-16 in total vesicles and exosome-enriched fractions achieved 100%/93% and 95%/79% specificity/sensitivity in distinguishing cancer patients from healthy individuals, respectively, demonstrating the diagnostic value of urine extracellular vesicles.</t>
  </si>
  <si>
    <t>[Bryzgunova, Olga E.; Skvortsova, Tatyana E.; Lekchnov, Evgeny A.; Zaporozhchenko, Ivan A.; Morozkin, Evgeny S.; Laktionov, Pavel P.] Inst Chem Biol &amp; Fundamental Med CD RAS, Mol Med Lab, Novosibirsk, Russia; [Zaripov, Marat M.; Voitsitskiy, Vladimir E.] Novosibirsk Reg Oncol Ctr, Dispensary Dept 2, Novosibirsk, Russia; [Grigor'eva, Alina E.; Ryabchikova, Elena I.] Inst Chem Biol &amp; Fundamental Med CD RAS, Grp Microscopy, Novosibirsk, Russia; [Morozkin, Evgeny S.; Laktionov, Pavel P.] Novosibirsk Res Inst Circulat Pathol Academician, Ctr Oncol &amp; Radiotherapy, Novosibirsk, Russia; [Yurchenko, Yuri B.] ICBFM SB RAS, Ctr New Med Technol, Novosibirsk, Russia</t>
  </si>
  <si>
    <t>Institute of Chemical Biology &amp; Fundamental Medicine, Siberian Branch of the RAS; Institute of Chemical Biology &amp; Fundamental Medicine, Siberian Branch of the RAS; Meshalkin National Medical Research Center; Institute of Chemical Biology &amp; Fundamental Medicine, Siberian Branch of the RAS; Russian Academy of Sciences</t>
  </si>
  <si>
    <t>Zaporozhchenko, IA (corresponding author), Inst Chem Biol &amp; Fundamental Med CD RAS, Mol Med Lab, Novosibirsk, Russia.</t>
  </si>
  <si>
    <t>ivanzap@niboch.nsc.ru</t>
  </si>
  <si>
    <t>Ryabchikova, Elena/G-3089-2013; Grigor’eva, Alina/I-3881-2014; Morozkin, Evgeny/AAJ-1779-2020; Yurchenko, Yuri A/B-8549-2009; Bryzgunova, Olga E/G-6279-2014</t>
  </si>
  <si>
    <t>Ryabchikova, Elena/0000-0003-4714-1524; Grigor'eva, Alina/0000-0001-9853-223X; Zaporozhchenko, Ivan/0000-0001-9101-2207</t>
  </si>
  <si>
    <t>1932-6203</t>
  </si>
  <si>
    <t>JUN 15</t>
  </si>
  <si>
    <t>e0157566</t>
  </si>
  <si>
    <t>10.1371/journal.pone.0157566</t>
  </si>
  <si>
    <t>WOS:000377824800073</t>
  </si>
  <si>
    <t>Choi, DS; Gho, YS</t>
  </si>
  <si>
    <t>Choi, Dong-Sic; Gho, Yong Song</t>
  </si>
  <si>
    <t>PROTEOMIC PROFILING: METHODS AND PROTOCOLS</t>
  </si>
  <si>
    <t>Exosomes; Ectosomes; Microvesicles; Proteomics; Iodixanol; Ultracentrifugation; Methanol/chloroform precipitation; Biomarker</t>
  </si>
  <si>
    <t>EXOSOMES; MICROVESICLES; PROTEIN</t>
  </si>
  <si>
    <t>Extracellular vesicles are nano-sized lipid bilayer vesicles released from most cells, including archaea, bacteria, and eukaryotic cells. These membrane vesicles play multiple roles in cell-to-cell communication, including immune modulation, angiogenesis, and transformation of cells by transferring genetic material and functional proteins. They contain specific subsets of proteins, DNA, RNA, and lipids that represent their cellular status. Furthermore, extracellular vesicles are enriched in cell type-or disease-specific vesicular proteins, especially plasma membrane proteins, which have pathophysiological functions; these vesicular proteins are considered novel diagnostic biomarkers as well as therapeutic targets. To profile the proteome, various purification methods of extracellular vesicles have been developed, but density gradient ultracentrifugation is considered the most promising. In this chapter, we describe the isolation of extracellular vesicles derived from SW480 cells and the preparation of tryptic peptides for mass-spectrometry-based proteomic analysis.</t>
  </si>
  <si>
    <t>[Choi, Dong-Sic; Gho, Yong Song] Pohang Univ Sci &amp; Technol, Dept Life Sci, Pohang, South Korea</t>
  </si>
  <si>
    <t>Pohang University of Science &amp; Technology (POSTECH)</t>
  </si>
  <si>
    <t>Choi, DS (corresponding author), Pohang Univ Sci &amp; Technol, Dept Life Sci, Pohang, South Korea.</t>
  </si>
  <si>
    <t>Choi, Dongsic/AAZ-9386-2020</t>
  </si>
  <si>
    <t>978-1-4939-2550-6; 978-1-4939-2549-0</t>
  </si>
  <si>
    <t>10.1007/978-1-4939-2550-6_14</t>
  </si>
  <si>
    <t>10.1007/978-1-4939-2550-6</t>
  </si>
  <si>
    <t>WOS:000372953500015</t>
  </si>
  <si>
    <t>Kanada, M; Bachmann, MH; Hardy, JW; Frimannson, DO; Bronsart, L; Wang, A; Sylvester, MD; Schmidt, TL; Kaspar, RL; Butte, MJ; Matin, AC; Contag, CH</t>
  </si>
  <si>
    <t>Kanada, Masamitsu; Bachmann, Michael H.; Hardy, Jonathan W.; Frimannson, Daniel Omar; Bronsart, Laura; Wang, Andrew; Sylvester, Matthew D.; Schmidt, Tobi L.; Kaspar, Roger L.; Butte, Manish J.; Matin, A. C.; Contag, Christopher H.</t>
  </si>
  <si>
    <t>Differential fates of biomolecules delivered to target cells via extracellular vesicles</t>
  </si>
  <si>
    <t>PROCEEDINGS OF THE NATIONAL ACADEMY OF SCIENCES OF THE UNITED STATES OF AMERICA</t>
  </si>
  <si>
    <t>cell communication; extracellular vesicle; exosome; microvesicle; apoptotic body</t>
  </si>
  <si>
    <t>TUMOR-DERIVED MICROVESICLES; MULTIVESICULAR BODIES; IN-VIVO; HORIZONTAL TRANSFER; MEMBRANE-VESICLES; PROTEIN-SYNTHESIS; GENE-EXPRESSION; MESSENGER-RNAS; EXOSOMES; SIRNA</t>
  </si>
  <si>
    <t>Extracellular vesicles (EVs), specifically exosomes and microvesicles (MVs), are presumed to play key roles in cell-cell communication via transfer of biomolecules between cells. The biogenesis of these two types of EVs differs as they originate from either the endosomal (exosomes) or plasma (MVs) membranes. To elucidate the primary means through which EVs mediate intercellular communication, we characterized their ability to encapsulate and deliver different types of macromolecules from transiently transfected cells. Both EV types encapsulated reporter proteins and mRNA but only MVs transferred the reporter function to recipient cells. De novo reporter protein expression in recipient cells resulted only from plasmid DNA (pDNA) after delivery via MVs. Reporter mRNA was delivered to recipient cells by both EV types, but was rapidly degraded without being translated. MVs also mediated delivery of functional pDNA encoding Cre recombinase in vivo to tissues in transgenic Crelox reporter mice. Within the parameters of this study, MVs delivered functional pDNA, but not RNA, whereas exosomes from the same source did not deliver functional nucleic acids. These results have significant implications for understanding the role of EVs in cellular communication and for development of EVs as delivery tools. Moreover, studies using EVs from transiently transfected cells may be confounded by a predominance of pDNA transfer.</t>
  </si>
  <si>
    <t>[Kanada, Masamitsu; Bachmann, Michael H.; Hardy, Jonathan W.; Bronsart, Laura; Wang, Andrew; Schmidt, Tobi L.; Butte, Manish J.; Contag, Christopher H.] Stanford Univ, Sch Med, Dept Pediat, Stanford, CA 94305 USA; [Frimannson, Daniel Omar; Sylvester, Matthew D.; Matin, A. C.; Contag, Christopher H.] Stanford Univ, Sch Med, Dept Microbiol &amp; Immunol, Stanford, CA 94305 USA; [Contag, Christopher H.] Stanford Univ, Sch Med, Dept Radiol, Stanford, CA 94305 USA; [Kaspar, Roger L.] TransDerm Inc, Santa Cruz, CA 95060 USA</t>
  </si>
  <si>
    <t>Stanford University; Stanford University; Stanford University</t>
  </si>
  <si>
    <t>Contag, CH (corresponding author), Stanford Univ, Sch Med, Dept Pediat, Stanford, CA 94305 USA.</t>
  </si>
  <si>
    <t>ccontag@stanford.edu</t>
  </si>
  <si>
    <t>Matin, AC/A-1315-2007; Bachmann, Michael/N-9339-2016; Butte, Manish/AAM-8604-2020; Butte, Manish/T-8860-2019; Kanada, Masamitsu/AAP-1664-2020; Hardy, Jonathan/AAO-9306-2020</t>
  </si>
  <si>
    <t>Matin, AC/0000-0003-4468-980X; Bachmann, Michael/0000-0002-0204-3720; Butte, Manish/0000-0002-4490-5595; Butte, Manish/0000-0002-4490-5595; Contag, Christopher/0000-0002-1011-8278</t>
  </si>
  <si>
    <t>0027-8424</t>
  </si>
  <si>
    <t>MAR 24</t>
  </si>
  <si>
    <t>E1433</t>
  </si>
  <si>
    <t>E1442</t>
  </si>
  <si>
    <t>10.1073/pnas.1418401112</t>
  </si>
  <si>
    <t>WOS:000351477000008</t>
  </si>
  <si>
    <t>Sun, L; Du, MJ; Kohli, M; Huang, CC; Chen, XX; Xu, M; Shen, HB; Wang, SK; Wang, L</t>
  </si>
  <si>
    <t>Sun, Li; Du, Meijun; Kohli, Manish; Huang, Chiang-Ching; Chen, Xiaoxiang; Xu, Mu; Shen, Hongbing; Wang, Shukui; Wang, Liang</t>
  </si>
  <si>
    <t>An Improved Detection of Circulating Tumor DNA in Extracellular Vesicles-Depleted Plasma</t>
  </si>
  <si>
    <t>ctDNA; liquid biopsy; plasma; exosome; copy number variation</t>
  </si>
  <si>
    <t>CELL-FREE DNA; LIQUID BIOPSIES; LUNG-CANCER; DISEASE</t>
  </si>
  <si>
    <t>Circulating tumor DNA (ctDNA) in plasma has been used as a biomarker for cancer detection and outcome prediction. In this study, we collected the five precipitates (fractions 1-5) and leftover supernatant plasma component (fraction 6) by a sequential centrifugation in plasma samples from nine small cell lung cancer (SCLC) patients. The fractions 3, 5 and 6 were large vesicles, exosomes and extracellular vesicles (EVs)-depleted plasma, respectively. Fragment size analysis using DNAs from these fractions showed dramatical differences from a peak of 7-10 kb in fraction 1 to 140-160 bp in fraction 6. To determine ctDNA content, we performed whole genome sequencing and applied copy number-based algorithm to calculate ctDNA percentage. This analysis showed the highest ctDNA content in EV-depleted plasma (average = 27.22%), followed by exosomes (average = 22.09%) and large vesicles (average = 19.70%). Comparatively, whole plasma, which has been used in most ctDNA studies, showed an average of 23.84% ctDNA content in the same group of patients. To further demonstrate higher ctDNA content in fraction 6, we performed mutational analysis in the plasma samples from 22 non-small cell lung cancer (NSCLC) patients with known EGFR mutations. This analysis confirmed higher mutation detection rates in fraction 6 (14/22) than whole plasma (10/22). This study provides a new insight into potential application of using fractionated plasma for an improved ctDNA detection.</t>
  </si>
  <si>
    <t>[Sun, Li] Nanjing Med Univ, Affiliated Hosp 2, Lab Med Ctr, Nanjing, Peoples R China; [Sun, Li; Chen, Xiaoxiang; Xu, Mu; Wang, Shukui] Nanjing Med Univ, Nanjing Hosp 1, Dept Gen Clin Res Ctr, Nanjing, Peoples R China; [Sun, Li; Du, Meijun; Wang, Liang] Med Coll Wisconsin, Dept Pathol, Milwaukee, WI USA; [Sun, Li; Shen, Hongbing] Nanjing Med Univ, Sch Publ Hlth, Collaborat Innovat Ctr Canc Med, Dept Epidemiol &amp; Biostatist,Jiangsu Key lab Canc, Nanjing, Peoples R China; [Kohli, Manish] Univ Utah, Huntsman Canc Inst, Div Oncol, Salt Lake City, UT USA; [Huang, Chiang-Ching] Univ Wisconsin, Zilber Sch Publ Hlth, Milwaukee, WI USA; [Wang, Liang] H Lee Moffitt Canc Ctr &amp; Res Inst, Dept Tumor Biol, Tampa, FL USA</t>
  </si>
  <si>
    <t>Nanjing Medical University; Nanjing Medical University; Medical College of Wisconsin; Nanjing Medical University; Huntsman Cancer Institute; Utah System of Higher Education; University of Utah; University of Wisconsin System; University of Wisconsin Milwaukee; H Lee Moffitt Cancer Center &amp; Research Institute</t>
  </si>
  <si>
    <t>Wang, SK (corresponding author), Nanjing Med Univ, Nanjing Hosp 1, Dept Gen Clin Res Ctr, Nanjing, Peoples R China.;Wang, L (corresponding author), Med Coll Wisconsin, Dept Pathol, Milwaukee, WI USA.;Wang, L (corresponding author), H Lee Moffitt Canc Ctr &amp; Res Inst, Dept Tumor Biol, Tampa, FL USA.</t>
  </si>
  <si>
    <t>sk_wang@njmu.edu.cn; liang.wang@moffitt.org</t>
  </si>
  <si>
    <t>Shen, Hongbing/0000-0002-2581-5906</t>
  </si>
  <si>
    <t>JUN 11</t>
  </si>
  <si>
    <t>10.3389/fonc.2021.691798</t>
  </si>
  <si>
    <t>WOS:000665794400001</t>
  </si>
  <si>
    <t>Zavridou, M; Strati, A; Bournakis, E; Smilkou, S; Tserpeli, V; Lianidou, E</t>
  </si>
  <si>
    <t>Zavridou, Martha; Strati, Areti; Bournakis, Evangelos; Smilkou, Stavroula; Tserpeli, Victoria; Lianidou, Evi</t>
  </si>
  <si>
    <t>Prognostic Significance of Gene Expression and DNA Methylation Markers in Circulating Tumor Cells and Paired Plasma Derived Exosomes in Metastatic Castration Resistant Prostate Cancer</t>
  </si>
  <si>
    <t>prostate cancer; liquid biopsy; CTCs; extracellular vesicles; exosomes; DNA methylation; gene expression; RT-qPCR; MSP</t>
  </si>
  <si>
    <t>SLFN11; AR-V7</t>
  </si>
  <si>
    <t>Simple Summary Liquid biopsy, based on the analysis of circulating tumor cells (CTCs) and circulating tumor DNA (ctDNA), provides non-invasive real-time monitoring of tumor evolution and therapeutic efficacy. We performed for the first time a direct comparison study on gene expression and DNA methylation markers in CTCs and paired plasma-derived exosomes and evaluated their prognostic significance in metastatic castration resistant prostate cancer. Our results revealed for the first time a significantly higher positivity of all markers in EpCAM-positive CTCs compared to plasma-derived exosomes. We report that in EpCAM-positive CTCs, CK-19, PSMA, TWIST1 expression and GSTP1 methylation are significantly correlated with worse overall survival (OS), while in exosomes, CK-8 expression and GSTP1 and RASSF1A methylation status were significantly correlated with a lower OS. We also enumerated CTC and tumor-derived extracellular vesicles (tdEVs) using CellSearch (CS) and found a correlation between the CTC and tumor-derived extracellular vesicles (tdEVs) enumeration values. Liquid biopsy, based on the analysis of circulating tumor cells (CTCs) and circulating tumor DNA (ctDNA), provides non-invasive real-time monitoring of tumor evolution and therapeutic efficacy. We performed for the first time a direct comparison study on gene expression and DNA methylation markers in CTCs and paired plasma-derived exosomes and evaluated their prognostic significance in metastatic castration resistant prostate cancer. This prospective liquid biopsy (LB) study was based on a group of 62 metastatic castration resistant prostate cancer (mCRPC) patients and 10 healthy donors (HD) as controls. Identical blood draws were used to: (a) enumerate CTC and tumor-derived extracellular vesicles (tdEVs) using CellSearch (CS) and (b) analyze CTCs and paired plasma-derived exosomes at the gene expression and DNA methylation level. CTCs were enumerated using CellSearch in 57/62 patients, with values ranging from 5 to 854 cells/7.5 mL PB. Our results revealed for the first time a significantly higher positivity of gene expression markers (CK-8, CK-18, TWIST1, PSMA, AR-FL, AR-V7, AR-567 and PD-L1 mRNA) in EpCAM-positive CTCs compared to plasma-derived exosomes. GSTP1, RASSF1A and SCHLAFEN were methylated both in CTC and exosomes. In CTCs, Kaplan-Meier analysis revealed that CK-19 (p = 0.009), PSMA (p = 0.001), TWIST1 (p = 0.001) expression and GSTP1 (p = 0.001) methylation were correlated with OS, while in exosomes GSTP1 (p = 0.007) and RASSF1A (p = 0.001) methylation was correlated with OS. Our direct comparison study of CTCs and exosomes at gene expression and DNA methylation level, revealed for the first time a significantly higher positivity in EpCAM-positive CTCs compared to plasma-derived exosomes. Future perspective of this study should be the evaluation of clinical utility of molecular biomarkers in CTCs and exosomes on independent multicentric cohorts with mCRPC patients.</t>
  </si>
  <si>
    <t>[Zavridou, Martha; Strati, Areti; Smilkou, Stavroula; Tserpeli, Victoria; Lianidou, Evi] Natl &amp; Kapodistrian Univ Athens, Dept Chem, Lab Analyt Chem, Anal Circulating Tumor Cells Lab, Athens 15771, Greece; [Bournakis, Evangelos] Natl &amp; Kapodistrian Univ Athens, Med Sch, Aretaieio Hosp, Dept Surg 2,Oncol Unit, Athens 11528, Greece</t>
  </si>
  <si>
    <t>National &amp; Kapodistrian University of Athens; National &amp; Kapodistrian University of Athens</t>
  </si>
  <si>
    <t>Lianidou, E (corresponding author), Natl &amp; Kapodistrian Univ Athens, Dept Chem, Lab Analyt Chem, Anal Circulating Tumor Cells Lab, Athens 15771, Greece.</t>
  </si>
  <si>
    <t>mzavridou@chem.uoa.gr; astrati@chem.uoa.gr; vagimith@yahoo.com; ssmilkou@chem.uoa.gr; victserp@chem.uoa.gr; lianidou@chem.uoa.gr</t>
  </si>
  <si>
    <t>Smilkou, Stavroula/0000-0002-5338-0276; Lianidou, Evi/0000-0002-7796-5914; Zavridou, Martha/0000-0001-5198-479X; Strati, Areti/0000-0001-9644-5538</t>
  </si>
  <si>
    <t>FEB</t>
  </si>
  <si>
    <t>10.3390/cancers13040780</t>
  </si>
  <si>
    <t>WOS:000623354700001</t>
  </si>
  <si>
    <t>Werner, B; Yuwono, N; Duggan, J; Liu, DL; David, C; Srirangan, S; Provan, P; DeFazio, A; Arora, V; Farrell, R; Lee, YC; Warton, K; Ford, C</t>
  </si>
  <si>
    <t>Werner, Bonnita; Yuwono, Nicole; Duggan, Jennifer; Liu, Dongli; David, Catherine; Srirangan, Sivatharsny; Provan, Pamela; DeFazio, Anna; Arora, Vivek; Farrell, Rhonda; Lee, Yeh Chen; Warton, Kristina; Ford, Caroline</t>
  </si>
  <si>
    <t>INOVATe Investigators</t>
  </si>
  <si>
    <t>Cell-free DNA is abundant in ascites and represents a liquid biopsy of ovarian cancer</t>
  </si>
  <si>
    <t>GYNECOLOGIC ONCOLOGY</t>
  </si>
  <si>
    <t>Ascites; Cell-free DNA; IFFO1; Ovarian cancer; Extracellular vesicles</t>
  </si>
  <si>
    <t>PLASMA</t>
  </si>
  <si>
    <t>Objective. Malignant ascites is a common clinical feature of ovarian cancer and represents a readily accessible sample of tumour cells and tumour DNA. This study aimed to characterise the cell-free DNA (cfDNA) in ascites in terms of its size profile, stability and cell-free tumour DNA (cftDNA) content. Methods. Cell spheroids, loose cells and cell-free fluid was collected from ascites from 18 patients with ovarian cancer. cfDNA was isolated and assessed for size by electrophoresis, concentration by fluorometry,cftDNA content by methylation specific qPCR of HOXA9 and IFFO1 promoter regions and by targeted sequencing. Stability was assessed after ascites fluid was stored at 4 degrees C for 24 and 72 h before fractionating. Results. The concentration of cfDNA in ascites ranged from 6.6 to 300 ng/mL. cfDNA size distribution resembled blood plasma-derived cfDNA, with major peaks corresponding to mono-and di-nucleosome DNA fragments. High molecular weight cfDNA was observed in 7 of 18 patients and appeared to be associated with extracellular vesicles. IFFO1 and HOXA9 methylation was proportionately higher in cfDNA than spheroid-and loose-cell fractions and was not observed in healthy primary cells. Variant allele frequency was highest in cfDNA compared to single cells and spheroids from ascites. Though cancer cell numbers in ascites declined to near zero in recurrent ascites from one patient undertaking chemotherapy, cftDNA could still be sampled. cfDNA size, concentration and tumour content was stable over 72 h. Conclusion. cfDNA in ovarian cancer ascites demonstrates inter-patient variability, yet is consistently a rich source of cftDNA, which is a stable substrate. This supports the wider clinical use of ascites in the molecular analysis of ovarian cancer. (c) 2021 Elsevier Inc. All rights reserved.</t>
  </si>
  <si>
    <t>[Werner, Bonnita; Yuwono, Nicole; Liu, Dongli; Warton, Kristina; Ford, Caroline] Univ New South Wales, Fac Med &amp; Hlth, Sch Womens &amp; Childrens Hlth, Gynaecol Canc Res Grp, Randwick, NSW, Australia; [Duggan, Jennifer; David, Catherine; Arora, Vivek; Lee, Yeh Chen] Royal Hosp Women, Gynaecol Oncol Dept, Sydney, NSW, Australia; [Srirangan, Sivatharsny; Provan, Pamela; DeFazio, Anna] Westmead Inst Med Res, Ctr Canc Res, Sydney, NSW, Australia; [Provan, Pamela; DeFazio, Anna] Univ Sydney, Fac Med &amp; Hlth, Sydney, NSW, Australia; [DeFazio, Anna] Westmead Hosp, Dept Gynaecol Oncol, Sydney, NSW, Australia; [Arora, Vivek; Farrell, Rhonda] Prince Wales Private Hosp, Sydney, NSW, Australia; [Arora, Vivek] Univ New South Wales, Fac Med &amp; Hlth, Sch Womens &amp; Childrens Hlth, Randwick, NSW, Australia; [Lee, Yeh Chen] Univ New South Wales, Fac Med &amp; Hlth, Randwick, NSW, Australia</t>
  </si>
  <si>
    <t>University of New South Wales Sydney; University of Sydney; Westmead Institute for Medical Research; University of Sydney; University of Sydney; University of New South Wales Sydney; University of New South Wales Sydney</t>
  </si>
  <si>
    <t>Ford, C (corresponding author), UNSW, Adult Canc Program, Lowy Canc Res Ctr, Level 2, Randwick, NSW 2031, Australia.</t>
  </si>
  <si>
    <t>caroline.ford@unsw.edu.au</t>
  </si>
  <si>
    <t>Ford, Caroline/A-7850-2010; DeFazio, Anna/D-3939-2013</t>
  </si>
  <si>
    <t>Ford, Caroline/0000-0002-4438-2309; Lee, Yeh Chen/0000-0003-2009-8263; Liu, Dongli/0000-0002-1755-8516; Werner, Bonnita/0000-0001-5208-1613; DeFazio, Anna/0000-0003-0057-4744</t>
  </si>
  <si>
    <t>0090-8258</t>
  </si>
  <si>
    <t>1095-6859</t>
  </si>
  <si>
    <t>SEP</t>
  </si>
  <si>
    <t>10.1016/j.ygyno.2021.06.028</t>
  </si>
  <si>
    <t>AUG 2021</t>
  </si>
  <si>
    <t>Oncology; Obstetrics &amp; Gynecology</t>
  </si>
  <si>
    <t>WOS:000690807800030</t>
  </si>
  <si>
    <t>Picca, A; Guerra, F; Calvani, R; Bucci, C; Lo Monaco, MR; Bentivoglio, AR; Landi, F; Bernabei, R; Marzetti, E</t>
  </si>
  <si>
    <t>Picca, Anna; Guerra, Flora; Calvani, Riccardo; Bucci, Cecilia; Lo Monaco, Maria Rita; Bentivoglio, Anna Rita; Landi, Francesco; Bernabei, Roberto; Marzetti, Emanuele</t>
  </si>
  <si>
    <t>Mitochondrial-Derived Vesicles as Candidate Biomarkers in Parkinson's Disease: Rationale, Design and Methods of the EXosomes in PArkiNson Disease (EXPAND) Study</t>
  </si>
  <si>
    <t>INTERNATIONAL JOURNAL OF MOLECULAR SCIENCES</t>
  </si>
  <si>
    <t>exosomes; mitophagy; mitochondrial quality control; mitochondrial-lysosomal axis; mtDNA; extracellular vesicles</t>
  </si>
  <si>
    <t>EXTRACELLULAR VESICLES; DNA HOMEOSTASIS; MICROVESICLES; ACTIVATION; MARKERS; STRESS; CELLS</t>
  </si>
  <si>
    <t>The progressive loss of dopaminergic neurons in the nigro-striatal system is a major trait of Parkinson's disease (PD), manifesting clinically as motor and non-motor symptoms. Mitochondrial dysfunction and oxidative stress are alleged pathogenic mechanisms underlying aggregation of misfolded -synuclein that in turn triggers dopaminergic neurotoxicity. Peripheral processes, including inflammation, may precede and contribute to neurodegeneration. Whether mitochondrial dyshomeostasis in the central nervous system and systemic inflammation are linked to one another in PD is presently unclear. Extracellular vesicles (EVs) are delivery systems through which cells can communicate or unload noxious materials. EV trafficking also participates in mitochondrial quality control (MQC) by generating mitochondrial-derived vesicles to dispose damaged organelles. Disruption of MQC coupled with abnormal EV secretion may play a role in the pathogenesis of PD. Furthermore, due to its bacterial ancestry, circulating mitochondrial DNA can elicit an inflammatory response. Therefore, purification and characterisation of molecules packaged in, and secreted through, small EVs (sEVs)/exosomes in body fluids may provide meaningful insights into the association between mitochondrial dysfunction and systemic inflammation in PD. The EXosomes in PArkiNson Disease (EXPAND) study was designed to characterise the cargo of sEVs/exosomes isolated from the serum of PD patients and to identify candidate biomarkers for PD.</t>
  </si>
  <si>
    <t>[Picca, Anna; Calvani, Riccardo; Landi, Francesco; Bernabei, Roberto] Univ Cattolica Sacro Cuore, Inst Internal Med &amp; Geriatr, I-00168 Rome, Italy; [Picca, Anna; Calvani, Riccardo; Lo Monaco, Maria Rita; Bentivoglio, Anna Rita; Landi, Francesco; Bernabei, Roberto; Marzetti, Emanuele] Fdn Policlin Univ Agostino Gemelli IRCCS, I-00168 Rome, Italy; [Guerra, Flora; Bucci, Cecilia] Univ Salento, Dept Biol &amp; Environm Sci &amp; Technol, I-73100 Lecce, Italy; [Bentivoglio, Anna Rita] Univ Cattolica Sacro Cuore, Inst Neurol, I-00168 Rome, Italy</t>
  </si>
  <si>
    <t>Catholic University of the Sacred Heart; IRCCS Policlinico Gemelli; Catholic University of the Sacred Heart; IRCCS Policlinico Gemelli; University of Salento; Catholic University of the Sacred Heart; IRCCS Policlinico Gemelli</t>
  </si>
  <si>
    <t>Calvani, R; Bernabei, R (corresponding author), Univ Cattolica Sacro Cuore, Inst Internal Med &amp; Geriatr, I-00168 Rome, Italy.;Calvani, R; Bernabei, R (corresponding author), Fdn Policlin Univ Agostino Gemelli IRCCS, I-00168 Rome, Italy.</t>
  </si>
  <si>
    <t>anna.picca1@gmail.com; guerraflora@gmail.com; riccardo.calvani@gmail.com; cecilia.bucci@unisalento.it; mariarita.lomonaco@policlinicogemelli.it; annarita.bentivoglio@unicatt.it; francesco.landi@unicatt.it; roberto.bernabei@unicatt.it; emanuele.marzetti@policlinicogemelli.it</t>
  </si>
  <si>
    <t>Calvani, Riccardo/K-2011-2018; Bentivoglio, Anna Rita/K-3752-2018; Bernabei, Roberto/AAB-2704-2019; Guerra, Flora/AFM-8764-2022; Guerra, Flora/D-1755-2014; BUCCI, CECILIA/F-6699-2012; Marzetti, Emanuele/A-9430-2010; Picca, Anna/K-2305-2018</t>
  </si>
  <si>
    <t>Calvani, Riccardo/0000-0001-5472-2365; Bernabei, Roberto/0000-0002-9197-004X; Guerra, Flora/0000-0003-3379-7469; Guerra, Flora/0000-0003-3379-7469; BUCCI, CECILIA/0000-0002-6232-6183; Marzetti, Emanuele/0000-0001-9567-6983; Picca, Anna/0000-0001-7032-3487; Lo Monaco, Maria Rita/0000-0002-1457-7981</t>
  </si>
  <si>
    <t>1422-0067</t>
  </si>
  <si>
    <t>MAY 2</t>
  </si>
  <si>
    <t>10.3390/ijms20102373</t>
  </si>
  <si>
    <t>Biochemistry &amp; Molecular Biology; Chemistry, Multidisciplinary</t>
  </si>
  <si>
    <t>Biochemistry &amp; Molecular Biology; Chemistry</t>
  </si>
  <si>
    <t>WOS:000471001400004</t>
  </si>
  <si>
    <t>Ibsen, SD; Wright, J; Lewis, JM; Kim, S; Ko, SY; Ong, J; Manouchehri, S; Vyas, A; Akers, J; Chen, CC; Carter, BS; Esener, SC; Heller, MJ</t>
  </si>
  <si>
    <t>Ibsen, Stuart D.; Wright, Jennifer; Lewis, Jean M.; Kim, Sejung; Ko, Seo-Yeon; Ong, Jiye; Manouchehri, Sareh; Vyas, Ankit; Akers, Johnny; Chen, Clark C.; Carter, Bob S.; Esener, Sadik C.; Heller, Michael J.</t>
  </si>
  <si>
    <t>Rapid Isolation and Detection of Exosomes and Associated Biomarkers from Plasma</t>
  </si>
  <si>
    <t>ACS NANO</t>
  </si>
  <si>
    <t>dielectrophoresis; exosomes; blood plasma; cancer biomarkers; extracellular vesicles</t>
  </si>
  <si>
    <t>HUMAN BLOOD-PLASMA; DIELECTROPHORETIC ISOLATION; PANCREATIC-CANCER; RNA; DNA; NANOPARTICLES; VESICLES; MICROVESICLES; SEPARATION; STABILITY</t>
  </si>
  <si>
    <t>Exosomes found in the circulation are a primary source of important cancer-related RNA and protein biomarkers that are expected to lead to early detection, liquid biopsy, and point-of-care diagnostic applications. Unfortunately, due to their small size (50-150 nm) and low density, exosomes are extremely difficult to isolate from plasma. Current isolation methods are time-consuming multistep procedures that are unlikely to translate into diagnostic applications. To address this issue, we demonstrate the ability of an alternating current electrokinetic (ACE) microarray chip device to rapidly isolate and recover glioblastoma exosomes from undiluted human plasma samples. The ACE device requires a small plasma sample (30-50 mu L) and is able to concentrate the exosomes into high-field regions around the ACE microelectrodes within 15 min. A simple buffer wash removes bulk plasma materials, leaving the exosomes concentrated on the microelectrodes. The entire isolation process and on-chip fluorescence analysis is completed in less than 30 min which enables subsequent on-chip immunofluorescence detection of exosomal proteins, and provides viable mRNA for RT-PCR analysis. These results demonstrate the ability of the ACE device to streamline the process for isolation and recovery of exosomes, significantly reducing the number of processing steps and time required.</t>
  </si>
  <si>
    <t>[Ibsen, Stuart D.; Wright, Jennifer; Lewis, Jean M.; Ko, Seo-Yeon; Ong, Jiye; Vyas, Ankit; Esener, Sadik C.; Heller, Michael J.] Univ Calif San Diego, Dept Nanoengn, La Jolla, CA 92093 USA; [Kim, Sejung] Univ Calif San Diego, Mat Sci &amp; Engn, La Jolla, CA 92093 USA; [Manouchehri, Sareh] Univ Calif San Diego, Dept Bioengn, La Jolla, CA 92093 USA; [Akers, Johnny; Chen, Clark C.; Carter, Bob S.] Univ Calif San Diego, Moores Canc Ctr, La Jolla, CA 92093 USA</t>
  </si>
  <si>
    <t>University of California System; University of California San Diego; University of California System; University of California San Diego; University of California System; University of California San Diego; University of California System; University of California San Diego</t>
  </si>
  <si>
    <t>Heller, MJ (corresponding author), Univ Calif San Diego, Dept Nanoengn, La Jolla, CA 92093 USA.</t>
  </si>
  <si>
    <t>mheller@ucsd.edu</t>
  </si>
  <si>
    <t>Carter, Bob/AAB-4868-2021</t>
  </si>
  <si>
    <t>Carter, Bob/0000-0002-3586-1324; Lewis, Jean/0000-0001-6978-5166</t>
  </si>
  <si>
    <t>1936-0851</t>
  </si>
  <si>
    <t>1936-086X</t>
  </si>
  <si>
    <t>10.1021/acsnano.7b00549</t>
  </si>
  <si>
    <t>Chemistry, Multidisciplinary; Chemistry, Physical; Nanoscience &amp; Nanotechnology; Materials Science, Multidisciplinary</t>
  </si>
  <si>
    <t>Chemistry; Science &amp; Technology - Other Topics; Materials Science</t>
  </si>
  <si>
    <t>WOS:000406649700012</t>
  </si>
  <si>
    <t>Hagey, DW; Kordes, M; Gorgens, A; Mowoe, MO; Nordin, JZ; Moro, CF; Lohr, JM; El Andaloussi, S</t>
  </si>
  <si>
    <t>Hagey, Daniel W.; Kordes, Maximilian; Gorgens, Andre; Mowoe, Metoboroghene O.; Nordin, Joel Z.; Moro, Carlos Fernandez; Lohr, J-Matthias; El Andaloussi, Samir</t>
  </si>
  <si>
    <t>Extracellular vesicles are the primary source of blood-borne tumour-derived mutant KRAS DNA early in pancreatic cancer</t>
  </si>
  <si>
    <t>apoptotic bodies; cancer diagnostics; ctDNA; digital PCR; exosomes; extracellular vesicles; liquid biopsy; microvesicles; pancreatic cancer; platelets</t>
  </si>
  <si>
    <t>Up to now, the field of liquid biopsies has focused on circulating tumour DNA and cells, though extracellular vesicles (EVs) have been of increasing interest in recent years. Thus, reported sources of tumour-derived nucleic acids include leukocytes, platelets and apoptotic bodies (AB), as well as large (LEV) and small (SEV) EVs. Despite these competing claims, there has yet to be a standardized comparison of the tumour-derived DNA associated with different components of blood. To address this issue, we collected twenty-three blood samples from seventeen patients with pancreatic cancers of known mutant KRAS G12 genotype, and divided them into two groups based on the time of patient survival following sampling. After collecting red and white blood cells, we subjected 1 ml aliquots of platelet rich plasma to differential centrifugation in order to separate the platelets, ABs, LEVs, SEVs and soluble proteins (SP) present. We then confirmed the enrichment of specific blood components in each differential centrifugation fraction using electron microscopy, Western blotting, nanoparticle tracking analysis and bead-based multiplex flow cytometry assays. By targeting wild type and tumour-specific mutant KRAS alleles using digital PCR, we found that the levels of mutant KRAS DNA were highest in association with LEVs and SEVs early, and with SEVs and SP late in disease progression. Importantly, we established that SEVs were the most enriched in tumour-derived DNA throughout disease progression, and verified this association using size exclusion chromatography. This work provides important direction for the rapidly expanding field of liquid biopsies by supporting an increased focus on EVs as a source of tumour-derived DNA.</t>
  </si>
  <si>
    <t>[Hagey, Daniel W.; Gorgens, Andre; Mowoe, Metoboroghene O.; Nordin, Joel Z.; Moro, Carlos Fernandez; El Andaloussi, Samir] Karolinska Inst, Dept Lab Med, Stockholm, Sweden; [Kordes, Maximilian; Lohr, J-Matthias] Karolinska Inst, Dept Clin Sci Intervent &amp; Technol, Stockholm, Sweden; [Kordes, Maximilian; Lohr, J-Matthias] Karolinska Univ Hosp, Dept Upper Abdominal Dis, Stockholm, Sweden; [Gorgens, Andre] Univ Duisburg Essen, Univ Hosp Essen, Inst Transfus Med, Essen, Germany; [Mowoe, Metoboroghene O.] Univ Cape Town, Inst Infect Dis &amp; Mol Med, Div Chem &amp; Syst Biol, Cape Town, South Africa; [Nordin, Joel Z.] Natl Ctr Neurol &amp; Psychiat NCNP, Natl Inst Neurosci, Dept Mol Therapy, Tokyo, Japan; [Moro, Carlos Fernandez] Karolinska Univ Hosp, Dept Clin Pathol Cytol, Stockholm, Sweden</t>
  </si>
  <si>
    <t>Karolinska Institutet; Karolinska Institutet; Karolinska Institutet; Karolinska University Hospital; University of Duisburg Essen; University of Cape Town; National Center for Neurology &amp; Psychiatry - Japan; Karolinska Institutet; Karolinska University Hospital</t>
  </si>
  <si>
    <t>Hagey, DW (corresponding author), Karolinska Inst, Dept Lab Med, Stockholm, Sweden.</t>
  </si>
  <si>
    <t>daniel.hagey@ki.se</t>
  </si>
  <si>
    <t>Görgens, André/C-3835-2016</t>
  </si>
  <si>
    <t>Görgens, André/0000-0001-9198-0857; Hagey, Daniel/0000-0001-9246-6235; Kokaraki, Georgia/0000-0002-6372-4239; Mowoe, Metoboroghene/0000-0003-2064-7234</t>
  </si>
  <si>
    <t>e12142</t>
  </si>
  <si>
    <t>10.1002/jev2.12142</t>
  </si>
  <si>
    <t>WOS:000702270100001</t>
  </si>
  <si>
    <t>Kondratov, K; Nikitin, Y; Fedorov, A; Kostareva, A; Mikhailovskii, V; Isakov, D; Ivanov, A; Golovkin, A</t>
  </si>
  <si>
    <t>Kondratov, Kirill; Nikitin, Yuri; Fedorov, Anton; Kostareva, Anna; Mikhailovskii, Vladimir; Isakov, Dmitry; Ivanov, Andrey; Golovkin, Alexey</t>
  </si>
  <si>
    <t>Heterogeneity of the nucleic acid repertoire of plasma extracellular vesicles demonstrated using high-sensitivity fluorescence-activated sorting</t>
  </si>
  <si>
    <t>Subpopulations of extracellular vesicles; high-sensitivity flow cytometry (hs-FCM); nucleic acid repertoire; microRNA; high-sensitivity fluorescence-activated vesicles sorting (hs-FAVS); platelet-derived extracellular vesicles; erythrocyte-derived extracellular vesicles</t>
  </si>
  <si>
    <t>MICROVESICLES; PLATELETS; RELEASE; MITOCHONDRIAL; MICROSCOPY; EXOSOMES; STORAGE; CELLS; SIZE</t>
  </si>
  <si>
    <t>The aim of this study was to investigate cell source-dependent nucleic acids repertoire of diverse subpopulations of plasma extracellular vesicles (EVs). Blood plasma from nine healthy volunteers was used for the analysis. Samples of EVs were obtained by differential centrifugation of plasma. The application of high-sensitivity fluorescence-activated vesicles sorting (hs-FAVS) using fluorophore-conjugated anti-CD41-FITC (Fluorescein isothiocyanate) and anti-CD235a-PE antibodies allowed the isolation of three subpopulations of EVs, namely CD41+ CD235a-, CD41-CD235a+ and CD41-CD235a dim. The high purity (&gt;97%) of the sorted subpopulations was verified by high-sensitivity flow cytometry. Presence of nanosized objects in sorted samples was confirmed by combination of low-voltage scanning electron microscopy and dynamic light scattering. The amount of material in sorted samples was enough to perform Quantitative polymerase chain reaction (qPCR)-based nucleic acid quantification. The most prominent differences in the nucleic acid repertoire were noted between CD41+ CD235- vs. CD41-CD235a+ vesicles: the former contained significantly (p = 0.004) higher amount of mitochondrial DNA, and platelet enriched miR-21-5p (4-fold), miR-223-3p (38-fold) and miR-199a-3p (187-fold), but lower amount of erythrocyte enriched miR-451a (90-fold). CD41-CD235a+ and CD41-CD235a dim vesicles differed in levels of miR-451a (p = 0.016) and miR-21-5p (p = 0.031). Nuclear DNA was below the limit of detection in all EV subpopulations. The hs-FCM-based determination of the number of sorted EVs allowed the calculation of per single-event miRNA concentrations. It was demonstrated that the most abundant marker in CD41+ CD235a- subpopulation was miR-223-3p, reaching 38.2 molecules per event. In the CD41-CD235+ subpopulation, the most abundant marker was miR-451a, reaching 24.7 molecules per event. Taken together, our findings indicate that erythrocyte- and platelet-derived EVs carry different repertoires of nucleic acids, which were similar to the composition of their cellular sources.</t>
  </si>
  <si>
    <t>[Kondratov, Kirill; Fedorov, Anton; Kostareva, Anna; Golovkin, Alexey] Almazov Natl Med Res Ctr, Inst Mol Biol &amp; Genet, St Petersburg, Russia; [Nikitin, Yuri; Ivanov, Andrey] Mil Med Acad, Dept Clin Biochem &amp; Lab Diagnost, St Petersburg, Russia; [Kostareva, Anna] Karolinska Inst, Dept Woman &amp; Child Hlth, Stockholm, Sweden; [Mikhailovskii, Vladimir] St Petersburg State Univ, Interdisciplinary Resource Ctr Nanotechnol, St Petersburg, Russia; [Isakov, Dmitry] Inst Expt Med, Dept Immunol, St Petersburg, Russia; [Isakov, Dmitry] Pavlov First St Petersburg State Med Univ, Dept Immunol, St Petersburg, Russia</t>
  </si>
  <si>
    <t>Almazov National Medical Research Centre; Karolinska Institutet; Saint Petersburg State University; Institute of Experimental Medicine; Pavlov First Saint Petersburg State Medical University</t>
  </si>
  <si>
    <t>Golovkin, A (corresponding author), Almazov Natl Med Res Ctr, Inst Mol Biol &amp; Genet, St Petersburg, Russia.</t>
  </si>
  <si>
    <t>golovkin_a@mails.ru</t>
  </si>
  <si>
    <t>Kostareva, Anna/AAO-5429-2020; Golovkin, Alexey S/I-2583-2014; Mikhailovskii, Vladimir/E-9974-2014</t>
  </si>
  <si>
    <t>Golovkin, Alexey S/0000-0002-7577-628X; Mikhailovskii, Vladimir/0000-0003-1168-771X; Nikitin, Iurii/0000-0001-7892-2783; Ivanov, Andrei/0000-0002-8899-7524</t>
  </si>
  <si>
    <t>JAN 1</t>
  </si>
  <si>
    <t>10.1080/20013078.2020.1743139</t>
  </si>
  <si>
    <t>WOS:000522185000001</t>
  </si>
  <si>
    <t>Han, PP; Bartold, PM; Salomon, C; Ivanovski, S</t>
  </si>
  <si>
    <t>Han, Pingping; Bartold, Peter Mark; Salomon, Carlos; Ivanovski, Saso</t>
  </si>
  <si>
    <t>Salivary Outer Membrane Vesicles and DNA Methylation of Small Extracellular Vesicles as Biomarkers for Periodontal Status: A Pilot Study</t>
  </si>
  <si>
    <t>bacterial outer membrane vesicles; global DNA methylation; small extracellular vesicles; periodontitis</t>
  </si>
  <si>
    <t>PORPHYROMONAS-GINGIVALIS; CEMENTOGENIC DIFFERENTIATION; SIGNALING PATHWAY; LIGAMENT CELLS; EXOSOMES; ACTIVATION; IONS; WNT</t>
  </si>
  <si>
    <t>Periodontitis is an inflammatory disease, associated with a microbial dysbiosis. Early detection using salivary small extracellular vesicles (sEVs) biomarkers may facilitate timely prevention. sEVs derived from different species (i.e., humans, bacteria) are expected to circulate in saliva. This pilot study recruited 22 participants (seven periodontal healthy, seven gingivitis and eight periodontitis) and salivary sEVs were isolated using the size-exclusion chromatography (SEC) method. The healthy, gingivitis and periodontitis groups were compared in terms of salivary sEVs in the CD9+ sEV subpopulation, Gram-negative bacteria-enriched lipopolysaccharide (LPS+) outer membrane vesicles (OMVs) and global DNA methylation pattern of 5-methylcytosine (5mC), 5-hydroxymethylcytosine (5hmC) and N6-Methyladenosine (m6dA). It was found that LPS+ OMVs, global 5mC methylation and four periodontal pathogens (T. denticola, E. corrodens, P. gingivalis and F. nucleatum) that secreted OMVs were significantly increased in periodontitis sEVs compared to those from healthy groups. These differences were more pronounced in sEVs than the whole saliva and were more superior in distinguishing periodontitis than gingivitis, in comparison to healthy patients. Of note, global 5mC hypermethylation in salivary sEVs can distinguish periodontitis patients from both healthy controls and gingivitis patients with high sensitivity and specificity (AUC = 1). The research findings suggest that assessing global sEV methylation may be a useful biomarker for periodontitis.</t>
  </si>
  <si>
    <t>[Han, Pingping; Ivanovski, Saso] Univ Queensland, Sch Dent, Fac Hlth &amp; Behav Sci, Brisbane, Qld 4006, Australia; [Han, Pingping; Ivanovski, Saso] Univ Queensland, Epigenet Nanodiagnost &amp; Therapeut Grp, Ctr Oral Facial Regenerat Rehabil &amp; Reconstruct C, Sch Dent,Fac Hlth &amp; Behav Sci, Brisbane, Qld 4006, Australia; [Bartold, Peter Mark] Univ Adelaide, Sch Dent, Adelaide, SA 5000, Australia; [Salomon, Carlos] Univ Queensland, Royal Brisbane &amp; Womens Hosp, Clin Res Ctr, Ctr Clin Diagnost,Exosome Biol Lab, Brisbane, Qld 4029, Australia</t>
  </si>
  <si>
    <t>University of Queensland; University of Queensland; University of Adelaide; Royal Brisbane &amp; Women's Hospital; University of Queensland</t>
  </si>
  <si>
    <t>Han, PP; Ivanovski, S (corresponding author), Univ Queensland, Sch Dent, Fac Hlth &amp; Behav Sci, Brisbane, Qld 4006, Australia.;Han, PP; Ivanovski, S (corresponding author), Univ Queensland, Epigenet Nanodiagnost &amp; Therapeut Grp, Ctr Oral Facial Regenerat Rehabil &amp; Reconstruct C, Sch Dent,Fac Hlth &amp; Behav Sci, Brisbane, Qld 4006, Australia.</t>
  </si>
  <si>
    <t>p.han@uq.edu.au; mark.bartold@adelaide.edu.au; c.salomongallo@uq.edu.au; s.ivanovski@uq.edu.au</t>
  </si>
  <si>
    <t>Han, Pingping/AAD-1353-2022; Salomon, Carlos/L-2167-2013</t>
  </si>
  <si>
    <t>Bartold, Peter/0000-0002-5695-3877; Salomon, Carlos/0000-0003-4474-0046; Han, Pingping/0000-0001-7546-1635</t>
  </si>
  <si>
    <t>MAR</t>
  </si>
  <si>
    <t>10.3390/ijms22052423</t>
  </si>
  <si>
    <t>WOS:000628261300001</t>
  </si>
  <si>
    <t>Podgornaya, OI; Vasilyeva, IN; Bespalov, VG</t>
  </si>
  <si>
    <t>Gahan, PB; Fleischhacker, M; Schmidt, B</t>
  </si>
  <si>
    <t>Podgornaya, Olga I.; Vasilyeva, Irina N.; Bespalov, Vladimir G.</t>
  </si>
  <si>
    <t>Heterochromatic Tandem Repeats in the Extracellular DNA</t>
  </si>
  <si>
    <t>CIRCULATING NUCLEIC ACIDS IN SERUM AND PLASMA - CNAPS IX</t>
  </si>
  <si>
    <t>Advances in Experimental Medicine and Biology</t>
  </si>
  <si>
    <t>Article; Proceedings Paper</t>
  </si>
  <si>
    <t>9th International Conference on Circulating Nucleic Acids in Plasma and Serum (CNAPS)</t>
  </si>
  <si>
    <t>SEP 10-12, 2015</t>
  </si>
  <si>
    <t>Berlin, GERMANY</t>
  </si>
  <si>
    <t>Extracellular DNA; Tandem repeats; Centromeric proteins; Apoptosis; Membrane-associated DNA</t>
  </si>
  <si>
    <t>MOUSE GENOME; PLASMA DNA; CELL-FREE</t>
  </si>
  <si>
    <t>Only limited sequencing data of the normal extracellular DNA (ecDNA) are currently available. The uptake of the ecDNA by cultured cells and its integration into the host chromatin have been demonstrated. A number of membrane-bearing vesicles in plasma and serum have been shown to carry nucleic acids. The presence of Tandem Repeat (TR) in both apoptotic DNA of HUVEC culture medium and membrane-associated DNA is shown. The existence and successful application of CREST serum also show the presence of fragments of the centromeric heterochromatin together with their TR and specific proteins in blood. Apparently, pericentromeric and centromeric DNA (TR) should be part of ecDNA in all cases.</t>
  </si>
  <si>
    <t>[Podgornaya, Olga I.] Inst Cytol, St Petersburg, Russia; [Podgornaya, Olga I.] Far Eastern Fed Univ, Vladivostok, Russia; [Vasilyeva, Irina N.; Bespalov, Vladimir G.] NN Petrov Res Inst Oncol, St Petersburg, Russia</t>
  </si>
  <si>
    <t>Russian Academy of Sciences; St. Petersburg Scientific Centre of the Russian Academy of Sciences; Institute of Cytology RAS; Far Eastern Federal University; N.N. Petrov Research Institute of Oncology</t>
  </si>
  <si>
    <t>Podgornaya, OI (corresponding author), Inst Cytol, St Petersburg, Russia.;Podgornaya, OI (corresponding author), Far Eastern Fed Univ, Vladivostok, Russia.</t>
  </si>
  <si>
    <t>opodg@yahoo.com</t>
  </si>
  <si>
    <t>Bespalov, Vladimir VG/K-4239-2013; Podgornaya, Olga/E-4325-2013</t>
  </si>
  <si>
    <t>Bespalov, Vladimir VG/0000-0003-4976-8515; Podgornaya, Olga/0000-0001-5065-5783</t>
  </si>
  <si>
    <t>0065-2598</t>
  </si>
  <si>
    <t>978-3-319-42044-8; 978-3-319-42042-4</t>
  </si>
  <si>
    <t>10.1007/978-3-319-42044-8_16</t>
  </si>
  <si>
    <t>10.1007/978-3-319-42044-8</t>
  </si>
  <si>
    <t>Biochemistry &amp; Molecular Biology; Medicine, Research &amp; Experimental</t>
  </si>
  <si>
    <t>Book Citation Index – Science (BKCI-S); Conference Proceedings Citation Index - Science (CPCI-S); Science Citation Index Expanded (SCI-EXPANDED)</t>
  </si>
  <si>
    <t>Biochemistry &amp; Molecular Biology; Research &amp; Experimental Medicine</t>
  </si>
  <si>
    <t>WOS:000401116800017</t>
  </si>
  <si>
    <t>Joncas, FH; Lucien, F; Rouleau, M; Morin, F; Leong, HS; Pouliot, F; Fradet, Y; Gilbert, C; Toren, P</t>
  </si>
  <si>
    <t>Joncas, France-Helene; Lucien, Fabrice; Rouleau, Melanie; Morin, Fannie; Leong, Hon Sing; Pouliot, Frederic; Fradet, Yves; Gilbert, Caroline; Toren, Paul</t>
  </si>
  <si>
    <t>Plasma extracellular vesicles as phenotypic biomarkers in prostate cancer patients</t>
  </si>
  <si>
    <t>androgen receptor splice variant; circulating biomarkers; extracellular vesicles; prostate-specific membrane antigen; sex steroids</t>
  </si>
  <si>
    <t>SPLICE VARIANT 7; RESISTANCE; AR-V7</t>
  </si>
  <si>
    <t>Background The development of phenotypic biomarkers to aid the selection of treatment for patients with castrate-resistant prostate cancer (CRPC) is an important priority. Plasma exosomes have excellent potential as real-time biomarkers to characterize the tumor because they are easily accessible in the blood and contain DNA, RNA, and protein from the parent cell. This study aims to investigate the characteristics of putative prostate-specific plasma extracellular vesicle (EV) markers and their relationship with clinical outcomes. Methods and Patients We investigated plasma EVs in a total of 89 patients with prostate cancer (PCa) at different stages of disease progression. EVs were isolated using both precipitation and ultracentrifugation methods; physical characterization was performed using dynamic light scattering, acetylcholinesterase (AChE) activity, and velocity gradients. An immunocapture method was developed for the evaluation of prostate-specific membrane antigen (PSMA)-positive exosomes. Exosomal messenger RNA (mRNA) was quantified using droplet digital polymerase chain reaction for the expression of KLK3 and androgen receptor splice variant 7 (AR-V7) genes, which code prostate-specific antigen (PSA) and AR-V7, respectively. Serum sex steroids were measured using liquid chromatography-tandem mass spectroscopy. Results Isolated exosomes from patients with CRPC had a smaller hydrodynamic size than those isolated from localized patients with PCa, while AChE activity showed no difference. Moreover, no differences were observed after initiation of androgen deprivation therapy in serial patient samples. Velocity gradients identified that PSMA-positive exosomes occupied a specific fraction of isolated EVs. A total of 35 patients with CRPC had mRNA analyzed from isolated plasma exosomes. Detectable exosomal KLK3 corresponded with higher concomitant serum PSA measurements, as expected (mean, 112.6 vs 26.61 ng/mL; P = .065). Furthermore, detectable levels of AR-V7 mRNA were associated with a shorter time to progression (median, 16.0 vs 28.0 months; P = .0499). Furthermore, detectable exosomal AR-V7 was significantly associated with testosterone levels below the lower limit of quantification (&lt;0.1 nM). Conclusions Our results suggest that exosomal AR-V7 is correlated with lower sex steroid levels in CRPC patients with a poorer prognosis. PSMA immunocapture does not appear sufficient to isolate PCa-specific exosomes.</t>
  </si>
  <si>
    <t>[Joncas, France-Helene; Rouleau, Melanie; Morin, Fannie; Pouliot, Frederic; Fradet, Yves; Gilbert, Caroline; Toren, Paul] Univ Laval, CHU Quebec, Res Ctr, Oncol Div, 10 McMahon,Rm 0877, Quebec City, PQ G1R 3S1, Canada; [Lucien, Fabrice; Leong, Hon Sing] Mayo Clin, Dept Urol, Canc Ctr, Rochester, MN USA</t>
  </si>
  <si>
    <t>Laval University; Mayo Clinic</t>
  </si>
  <si>
    <t>Toren, P (corresponding author), Univ Laval, CHU Quebec, Res Ctr, Oncol Div, 10 McMahon,Rm 0877, Quebec City, PQ G1R 3S1, Canada.</t>
  </si>
  <si>
    <t>paul.toren@crchudequebec.ulaval.ca</t>
  </si>
  <si>
    <t>Gilbert, Caroline/0000-0003-2722-1180; Fradet, Yves/0000-0002-7581-2500; Pouliot, Frederic/0000-0002-6651-1079; Leong, Hon/0000-0001-7801-1402; Toren, Paul/0000-0002-5762-5787; Rouleau, Melanie/0000-0003-4154-3127</t>
  </si>
  <si>
    <t>10.1002/pros.23901</t>
  </si>
  <si>
    <t>SEP 2019</t>
  </si>
  <si>
    <t>WOS:000484689500001</t>
  </si>
  <si>
    <t>Tutanov, O; Shtam, T; Grigor'eva, A; Tupikin, A; Tsentalovich, Y; Tamkovich, S</t>
  </si>
  <si>
    <t>Tutanov, Oleg; Shtam, Tatiana; Grigor'eva, Alina; Tupikin, Alexey; Tsentalovich, Yuri; Tamkovich, Svetlana</t>
  </si>
  <si>
    <t>Blood Plasma Exosomes Contain Circulating DNA in Their Crown</t>
  </si>
  <si>
    <t>DIAGNOSTICS</t>
  </si>
  <si>
    <t>circulating DNA; exosomes; DNA-binding proteins; histone-binding proteins; crown</t>
  </si>
  <si>
    <t>CANCER-PATIENTS; GASTRIC-CANCER; TUMOR DNA; BINDING; CHROMATIN; PROTEINS; DOMAINS; DISEASE; BENIGN; BREAST</t>
  </si>
  <si>
    <t>It is known that circulating DNA (cirDNA) is protected from nuclease activity by proteins that form macromolecular complexes with DNA. In addition, it was previously shown that cirDNA can bind to the outer surface of exosomes. NTA analysis and real-time PCR show that exosomes from healthy females (HF) or breast cancer patients (BCP) plasma contain less than 1.4 x 10(-8) pg of DNA. Thus, only a minor part of cirDNA is attached to the outer side of the exosome as part of the vesicle crown: the share of exosomal DNA does not exceed 0.025% HF plasma DNA and 0.004% BCP plasma DNA. Treatment of plasma exosomes with DNase I with subsequent dot immunoassay reveals that H2a, H2b, and H3 histones are not part of the exosomal membrane, but are part of the cirDNA-protein macromolecular complex associated with the surface of the exosome either through interaction with DNA-binding proteins or with histone-binding proteins. Using bioinformatics approaches after identification by MALDI-TOF mass spectrometry, 16 exosomal DNA-binding proteins were identified. It was shown that four proteins-AIFM1, IGHM, CHD5, and KCNIP3-are candidates for DNA binding on the outer membrane of exosomes; the crown of exosomes may include five DNA-binding proteins: H2a, H2b, H3, IGHM, and ALB. Of note, AIFM1, IGHM, and CHD5 proteins are found only in HF plasma exosomes; KCNIP3 protein is identified only in BCP plasma exosomes; and H2a, H2b, H3, and ALB are revealed in all samples of plasma exosomes. Two histone-binding proteins, CHD5 and KDM6B, have been found in exosomes from HF plasma. The data obtained indicate that cirDNA preferentially binds to the outer membrane of exosomes by association with DNA-binding proteins.</t>
  </si>
  <si>
    <t>[Tutanov, Oleg; Tamkovich, Svetlana] Novosibirsk State Univ, V Zelman Inst Med &amp; Psychol, Novosibirsk 630090, Russia; [Shtam, Tatiana] Natl Res Ctr, Petersburg Nucl Phys Inst, Kurchatov Inst, Gatchina 188300, Russia; [Grigor'eva, Alina; Tupikin, Alexey] Russian Acad Sci, Inst Chem Biol &amp; Fundamental Med, Siberian Branch, Novosibirsk 630090, Russia; [Tsentalovich, Yuri] Russian Acad Sci, Int Tomog Ctr, Siberian Branch, Novosibirsk 630090, Russia</t>
  </si>
  <si>
    <t>Novosibirsk State University; National Research Centre - Kurchatov Institute; Petersburg Nuclear Physics Institute; Institute of Chemical Biology &amp; Fundamental Medicine, Siberian Branch of the RAS; Russian Academy of Sciences; International Tomography Center, Siberian Branch of Russian Academy of Sciences; Russian Academy of Sciences</t>
  </si>
  <si>
    <t>Tamkovich, S (corresponding author), Novosibirsk State Univ, V Zelman Inst Med &amp; Psychol, Novosibirsk 630090, Russia.</t>
  </si>
  <si>
    <t>ostutanov@gmail.com; shtam_ta@pnpi.nrcki.ru; feabelit@mail.ru; alenare@niboch.nsc.ru; yura@tomo.nsc.ru; s.tamkovich@g.nsu.ru</t>
  </si>
  <si>
    <t>Shtam, Tatyana/AGM-9038-2022; Tamkovich, Svetlana/G-9790-2013; Tutanov, Oleg/R-3938-2016</t>
  </si>
  <si>
    <t>Shtam, Tatyana/0000-0003-0651-4785; Tamkovich, Svetlana/0000-0001-7774-943X; Tutanov, Oleg/0000-0003-4794-6322; Tsentalovich, Yuri/0000-0002-1380-3000</t>
  </si>
  <si>
    <t>2075-4418</t>
  </si>
  <si>
    <t>10.3390/diagnostics12040854</t>
  </si>
  <si>
    <t>Medicine, General &amp; Internal</t>
  </si>
  <si>
    <t>General &amp; Internal Medicine</t>
  </si>
  <si>
    <t>WOS:000785521400001</t>
  </si>
  <si>
    <t>Pan, M; Lu, JF; Liu, ZY; Shi, HJ; Bai, YF; Chen, PS; Ge, QY</t>
  </si>
  <si>
    <t>Pan, Min; Lu, Jiafeng; Liu, Zhiyu; Shi, Huajuan; Bai, Yunfei; Chen, Pingsheng; Ge, Qinyu</t>
  </si>
  <si>
    <t>Integrity of cell-free DNA in maternal plasma extracellular vesicles as a potential biomarker for non-invasive prenatal testing</t>
  </si>
  <si>
    <t>INTERNATIONAL JOURNAL OF GYNECOLOGY &amp; OBSTETRICS</t>
  </si>
  <si>
    <t>cell-free DNA; evcfDI; extracellular vesicles; maternal plasma; non-invasive prenatal testing</t>
  </si>
  <si>
    <t>FETAL DNA; SIZE DISTRIBUTIONS; BREAST-CANCER; BLOOD-PLASMA; EXOSOMES; ANEUPLOIDIES; METHYLATION; TRISOMIES; MARKER</t>
  </si>
  <si>
    <t>Objective Large proportions of cell-free DNA (cfDNA) in plasma are localized in extracellular vesicles (EVs), which are secreted from placental cells. This study was conducted to reveal the integrity pattern of cfDNA in maternal plasma EVs (evcfDI) across gestation, and explore if evcfDI could be a potential biomarker in screening for aneuploid fetus in non-invasive prenatal testing (NIPT). Methods A total of 180 maternal plasma samples were collected during NIPT. Both evcfDNA and fetal evcfDNA (evcffDNA) were measured by quantitative PCR of LINE1 and SRY gene amplicons with different sizes. The evcfDI was calculated as the ratio of long to short fragments. Results evcfDI is not affected by gestational age; whereas evcffDI has a mild decreasing trend with increasing gestational age (P = 0.048). evcfDI is significantly and negatively correlated with maternal body mass index (BMI; calculated as weight in kilograms divided by the square of height in meters: &lt;= 18.5, 18.5-25, and &gt;= 25) (P &lt; 0.01) and age (&lt;35 and &gt;= 35 years) (P &lt; 0.01). Mean evcfDI decreases from 2.113 in euploid controls to 0.681 in those with an aneuploid fetus in NIPT (P = 0.003). Conclusion Maternal clinical characteristics such as BMI and age could be innovative biomarkers to calibrate evcfDI, which was shown to be a potential indicator of an aneuploid fetus. Analysis of evcfDI based on quantitative PCR could serve as a novel, rapid, and low-cost NIPT strategy, which might facilitate testing at earlier gestations.</t>
  </si>
  <si>
    <t>[Pan, Min; Chen, Pingsheng] Southeast Univ, Sch Med, Nanjing, Peoples R China; [Lu, Jiafeng] Nanjing Med Univ, Suzhou Municipal Hosp, Ctr Reprod &amp; Genet, Affiliated Suzhou Hosp, Suzhou, Peoples R China; [Liu, Zhiyu; Shi, Huajuan; Bai, Yunfei; Ge, Qinyu] Southeast Univ, Sch Biol Sci &amp; Med Engn, State Key Lab Bioelect, Nanjing, Peoples R China</t>
  </si>
  <si>
    <t>Southeast University - China; Nanjing Medical University; Southeast University - China</t>
  </si>
  <si>
    <t>Ge, QY (corresponding author), Southeast Univ, Sch Biol Sci &amp; Med Engn, State Key Lab Bioelect, Nanjing, Peoples R China.</t>
  </si>
  <si>
    <t>geqinyu@seu.edu.cn</t>
  </si>
  <si>
    <t>0020-7292</t>
  </si>
  <si>
    <t>1879-3479</t>
  </si>
  <si>
    <t>AUG</t>
  </si>
  <si>
    <t>10.1002/ijgo.13976</t>
  </si>
  <si>
    <t>NOV 2021</t>
  </si>
  <si>
    <t>Obstetrics &amp; Gynecology</t>
  </si>
  <si>
    <t>WOS:000714974700001</t>
  </si>
  <si>
    <t>Mata-Rocha, M; Rodriguez-Hernandez, RM; Chavez-Olmos, P; Garrido, E; Robles-Vazquez, C; Aguilar-Ruiz, S; Torres-Aguilar, H; Gonzalez-Torres, C; Gaytan-Cervantes, J; Mejia-Arangure, JM; Romero-Tlalolini, MDA</t>
  </si>
  <si>
    <t>Mata-Rocha, Minerva; Monserrat Rodriguez-Hernandez, Ruth; Chavez-Olmos, Pedro; Garrido, Efrain; Robles-Vazquez, Conrado; Aguilar-Ruiz, Sergio; Torres-Aguilar, Honorio; Gonzalez-Torres, Carolina; Gaytan-Cervantes, Javier; Manuel Mejia-Arangure, Juan; Angeles Romero-Tlalolini, Maria de los</t>
  </si>
  <si>
    <t>Presence of HPV DNA in extracellular vesicles from HeLa cells and cervical samples</t>
  </si>
  <si>
    <t>ENFERMEDADES INFECCIOSAS Y MICROBIOLOGIA CLINICA</t>
  </si>
  <si>
    <t>Exosomal DNA-seq; Exosomal HPV DNA; Exosomes of cervical exudate; Episomal HPV DNA in exosomes</t>
  </si>
  <si>
    <t>HUMAN-PAPILLOMAVIRUS; CANCER; EXPRESSION; SPECIMENS; PCR; E6</t>
  </si>
  <si>
    <t>Introduction: The main cause of cervical cancer is an infection of keratinocytes in the basal layer of the stratified epithelium of the cervix by human papillomavirus (HPV). Other than in cervical samples, HPV DNA has been found in serum and other fluids but its origin is unclear. Extracellular vesicles (EV) could be a conveyance of viral DNA given their emerging role in cellular communication. The content of EV derived from cervical cells has not been properly explored and it is not known whether or not they contain HPV DNA. Methods: We evaluated the DNA content of exosomes purified from cultures of HeLa cells by Next Generation Sequencing (NGS) and confirmed its presence by PCR. The presence of HPV DNA was also evaluated by PCR and NGS in EV from HPV-positive cervical samples without apparent lesion or with LSIL. Results: We detected the integrated form of viral -DNA in exosomes from HeLa cells by NGS and confirmed its presence by PCR. The search for HPV sequences in EV obtained from cervical exudate samples without apparent lesion or with LSIL, where we expected to find the viral genome as an episome, indicated that HPV DNA, including the E6 and E7 oncogenes, is present in these EV. Conclusion: HPV DNA, including the viral oncogenes E6/E7, is found in exosomes regardless of the integration status of the virus in the infected cell. (C) 2019 Elsevier Espana, S.L.U. and Sociedad Espaliola de Enfermedades Infecciosas y Microbiologla Clinica. All rights reserved.</t>
  </si>
  <si>
    <t>[Mata-Rocha, Minerva] Ctr Med Nacl Siglo XXI, Hosp Pediat, IMSS, CONACyT Unidad Invest Med Epidemiol Clin, Mexico City, DF, Mexico; [Monserrat Rodriguez-Hernandez, Ruth; Torres-Aguilar, Honorio] Univ Autonoma Benito Juarez Oaxaca, Fac Ciencias Quim, Oaxaca, Oaxaca, Mexico; [Chavez-Olmos, Pedro; Garrido, Efrain] IPN, Dept Genet &amp; Biol Mol, CINVESTAV, Ciudad De Mexico, Mexico; [Robles-Vazquez, Conrado; Aguilar-Ruiz, Sergio] Univ Autonoma Benito Juarez Oaxaca, Fac Med &amp; Cirugia, Oaxaca, Oaxaca, Mexico; [Gonzalez-Torres, Carolina; Gaytan-Cervantes, Javier] Ctr Med Nacl Siglo XXI, Div Desarrollo Invest, Lab Secuenciac, IMSS, Ciudad De Mexico, Mexico; [Manuel Mejia-Arangure, Juan] Torre Acad Nacl Med, IMSS, Coordinac Invest Salud, Ciudad De Mexico, Mexico; [Angeles Romero-Tlalolini, Maria de los] Fac Med &amp; Cirugia, CONACYT UABJO, Oaxaca, Oaxaca, Mexico</t>
  </si>
  <si>
    <t>Instituto Mexicano del Seguro Social; Universidad Autonoma Benito Juarez de Oaxaca; CINVESTAV - Centro de Investigacion y de Estudios Avanzados del Instituto Politecnico Nacional; Instituto Politecnico Nacional - Mexico; Universidad Autonoma Benito Juarez de Oaxaca</t>
  </si>
  <si>
    <t>Romero-Tlalolini, MDA (corresponding author), Fac Med &amp; Cirugia, CONACYT UABJO, Oaxaca, Oaxaca, Mexico.</t>
  </si>
  <si>
    <t>mdlaromerotl@conacyt.mx</t>
  </si>
  <si>
    <t>Mejia-Arangure, Juan Manuel/T-6743-2019</t>
  </si>
  <si>
    <t>Mejia-Arangure, Juan Manuel/0000-0001-8027-6231; GONZALEZ, CAROLINA/0000-0003-0688-9333; Rodriguez Hernandez, Ruth Monserrat/0000-0001-5606-647X; Romero-Tlalolini, Maria de los Angeles/0000-0001-9867-8765; Torres-Aguilar, Honorio/0000-0003-2853-4891; Gaytan Cervantes, Fco. Javier/0000-0003-3386-2849; Aguilar Ruiz, Sergio Roberto/0000-0002-2412-0360</t>
  </si>
  <si>
    <t>0213-005X</t>
  </si>
  <si>
    <t>1578-1852</t>
  </si>
  <si>
    <t>10.1016/j.eime.2019.06.011</t>
  </si>
  <si>
    <t>Infectious Diseases; Microbiology</t>
  </si>
  <si>
    <t>WOS:000530699600004</t>
  </si>
  <si>
    <t>Garcia-Silva, S; Gallardo, M; Peinado, H</t>
  </si>
  <si>
    <t>Garcia-Silva, Susana; Gallardo, Miguel; Peinado, Hector</t>
  </si>
  <si>
    <t>DNA-Loaded Extracellular Vesicles in Liquid Biopsy: Tiny Players With Big Potential?</t>
  </si>
  <si>
    <t>FRONTIERS IN CELL AND DEVELOPMENTAL BIOLOGY</t>
  </si>
  <si>
    <t>extracellular vesicles; exosomes; cancer; liquid biopsy; plasma; cfDNA</t>
  </si>
  <si>
    <t>[Garcia-Silva, Susana; Peinado, Hector] Spanish Natl Canc Res Ctr CNIO, Microenvironm &amp; Metastasis Lab, Mol Oncol Programme, Madrid, Spain; [Gallardo, Miguel] Spanish Natl Canc Res Ctr CNIO, CNIO Hematol Malignancies Clin Res Unit H12O, Clin Res Programme, Madrid, Spain</t>
  </si>
  <si>
    <t>Centro Nacional de Investigaciones Oncologicas (CNIO); Centro Nacional de Investigaciones Oncologicas (CNIO)</t>
  </si>
  <si>
    <t>Garcia-Silva, S; Peinado, H (corresponding author), Spanish Natl Canc Res Ctr CNIO, Microenvironm &amp; Metastasis Lab, Mol Oncol Programme, Madrid, Spain.</t>
  </si>
  <si>
    <t>sgsilva@cnio.es; hpeinado@cnio.es</t>
  </si>
  <si>
    <t>Garcia-Silva, Susana/AAW-8528-2021</t>
  </si>
  <si>
    <t>Garcia-Silva, Susana/0000-0003-1065-0245</t>
  </si>
  <si>
    <t>2296-634X</t>
  </si>
  <si>
    <t>JAN 21</t>
  </si>
  <si>
    <t>10.3389/fcell.2020.622579</t>
  </si>
  <si>
    <t>Cell Biology; Developmental Biology</t>
  </si>
  <si>
    <t>WOS:000616323300001</t>
  </si>
  <si>
    <t>Li, YJ; Guo, X; Guo, SS; Wang, Y; Chen, L; Liu, Y; Jia, M; An, JZ; Tao, KS; Xing, JL</t>
  </si>
  <si>
    <t>Li, Yijie; Guo, Xu; Guo, Shanshan; Wang, Yang; Chen, Lin; Liu, Yang; Jia, Min; An, Jiaze; Tao, Kaishan; Xing, Jinliang</t>
  </si>
  <si>
    <t>Next generation sequencing-based analysis of mitochondrial DNA characteristics in plasma extracellular vesicles of patients with hepatocellular carcinoma</t>
  </si>
  <si>
    <t>ONCOLOGY LETTERS</t>
  </si>
  <si>
    <t>extracellular vesicles; mitochondrial DNA; hepatocellular carcinoma; liquid biopsy</t>
  </si>
  <si>
    <t>COPY NUMBER; EXOSOMES; MUTATIONS; BIOMARKER; RELEASE; KRAS</t>
  </si>
  <si>
    <t>Emerging evidence has revealed that mitochondrial DNA (mtDNA) is encapsulated in plasma extracellular vesicles (EVs). However, the characteristics of mtDNA in EVs from patients with cancer remain largely unexplored, which greatly limits its clinical application. Whole genome and capture-based sequencing found that EV mtDNA covered the whole mitochondrial genome. The medium fragment size in EV mtDNA was significantly larger compared with that in cell-free mtDNA [cfmtDNA; 159 vs. 109 base pairs (bp); P&lt;0.001]. EV DNA appeared to have a higher mtDNA copy number compared with cfDNA. Of note, patients with hepatitis had &gt;300-bp fragments in EV mtDNA compared with patients with hepatocellular carcinoma (HCC) and healthy controls. EV mtDNA fragments &gt;300 bp in length exhibited a significantly higher proportion of EV mtDNA fragment ends than those that were &lt;= 300 bp in length in patients with hepatitis. The EV mtDNA copy number in patients with HCC and hepatitis were significantly lower compared with those in healthy controls. Furthermore, inconsistencies in the mtDNA heteroplasmic variant were observed among HCC tissues, plasma and EVs. In conclusion, EV mtDNA exhibited different characteristics among patients with HCC, hepatitis and healthy controls, indicating the potential value of EV mtDNA as a diagnostic biomarker that complements cfmtDNA.</t>
  </si>
  <si>
    <t>[Li, Yijie; Wang, Yang; An, Jiaze; Tao, Kaishan] Fourth Mil Med Univ, Xijing Hosp, Dept Hepatobiliary Surg, 169 Changle West Rd, Xian 710032, Shaanxi, Peoples R China; [Guo, Xu; Guo, Shanshan; Chen, Lin; Liu, Yang; Jia, Min; Xing, Jinliang] Fourth Mil Med Univ, State Key Lab Canc Biol, 169 Changle West Rd, Xian 710032, Shaanxi, Peoples R China; [Guo, Xu; Guo, Shanshan; Chen, Lin; Liu, Yang; Jia, Min; Xing, Jinliang] Fourth Mil Med Univ, Dept Physiol &amp; Pathophysiol, 169 Changle West Rd, Xian 710032, Shaanxi, Peoples R China</t>
  </si>
  <si>
    <t>Air Force Military Medical University; Air Force Military Medical University; Air Force Military Medical University</t>
  </si>
  <si>
    <t>Tao, KS (corresponding author), Fourth Mil Med Univ, Xijing Hosp, Dept Hepatobiliary Surg, 169 Changle West Rd, Xian 710032, Shaanxi, Peoples R China.;Xing, JL (corresponding author), Fourth Mil Med Univ, State Key Lab Canc Biol, 169 Changle West Rd, Xian 710032, Shaanxi, Peoples R China.;Xing, JL (corresponding author), Fourth Mil Med Univ, Dept Physiol &amp; Pathophysiol, 169 Changle West Rd, Xian 710032, Shaanxi, Peoples R China.</t>
  </si>
  <si>
    <t>taokaishan0686@163.com; xingjl@fmmu.edu.cn</t>
  </si>
  <si>
    <t>1792-1074</t>
  </si>
  <si>
    <t>1792-1082</t>
  </si>
  <si>
    <t>10.3892/ol.2020.11831</t>
  </si>
  <si>
    <t>WOS:000563938300081</t>
  </si>
  <si>
    <t>Konecna, B; Vlkova, B; Repiska, G; Tothova, L</t>
  </si>
  <si>
    <t>Konecna, Barbora; Vlkova, Barbora; Repiska, Gabriela; Tothova, L'ubomira</t>
  </si>
  <si>
    <t>Transfection of maternal cells with placental extracellular vesicles in preeclampsia</t>
  </si>
  <si>
    <t>MEDICAL HYPOTHESES</t>
  </si>
  <si>
    <t>Exosomes; cell-free DNA; Gestation; Intercellular communication</t>
  </si>
  <si>
    <t>FETAL DNA; CIRCULATING MICROPARTICLES; POTENTIAL BIOMARKERS; INDUCE PREECLAMPSIA; NORMAL-PREGNANCY; NUCLEIC-ACIDS; EXOSOMES; SERUM; MICRORNAS; PROTEINS</t>
  </si>
  <si>
    <t>The role of extracellular vesicles is widely studied. As well as other organs, placenta produces extracellular vesicles during both, normal and pathological pregnancies. During pregnancy, placental/fetal free DNA circulates in maternal blood. Concentrations of free placental DNA are much higher when pregnancy complications of various etiologies occur. Such a complication could be preeclampsia. In our previous animal model, administration of pure DNA isolated from fetus did not induce any prenatal complications. Here we hypothesize that in real life during preeclampsia or other pregnancy complications, placental DNA might be transported by extracellular vesicles to maternal cells. Also, our preliminary data prove that placental DNA is present in circulating exosomes in maternal blood. Therefore, a lipid bilayer of extracellular vesicles could protect DNA from degradation by enzymes. Extracellular vesicles tend to merge with other cells, therefore, following expression of fetal genes from placental extracellular vesicles in maternal cells could lead to an immune response already observed in pregnancy complications. Future studies should be mainly focused on verification of our hypothesis and evaluate the potential of placental/fetal extracellular vesicles and their gene transfer in preeclampsia or other pregnancy complications.</t>
  </si>
  <si>
    <t>[Konecna, Barbora; Vlkova, Barbora; Tothova, L'ubomira] Comenius Univ, Fac Med, Inst Mol Biomed, Sasinkova 2, Bratislava, Slovakia; [Repiska, Gabriela] Comenius Univ, Fac Med, Inst Physiol, Sasinkova 2, Bratislava, Slovakia</t>
  </si>
  <si>
    <t>Comenius University Bratislava; Comenius University Bratislava; Slovak Academy of Sciences</t>
  </si>
  <si>
    <t>Konecna, B (corresponding author), Comenius Univ, Fac Med, Inst Mol Biomed, Sasinkova 2, Bratislava, Slovakia.</t>
  </si>
  <si>
    <t>barbora.konecna@imbm.sk</t>
  </si>
  <si>
    <t>Vlkova, Barbora/I-5014-2014; Konecna, Barbora/Q-4617-2017</t>
  </si>
  <si>
    <t>Vlkova, Barbora/0000-0003-3907-5432; Konecna, Barbora/0000-0002-5544-1482; Repiska, Gabriela/0000-0003-2069-8859</t>
  </si>
  <si>
    <t>0306-9877</t>
  </si>
  <si>
    <t>1532-2777</t>
  </si>
  <si>
    <t>10.1016/j.mehy.2020.109721</t>
  </si>
  <si>
    <t>WOS:000542189700006</t>
  </si>
  <si>
    <t>Samra, M; Nam, SK; Lim, DH; Kim, DH; Yang, J; Kim, YK; Kim, JH</t>
  </si>
  <si>
    <t>Samra, Mona; Nam, Soo Kyung; Lim, Dae Hyun; Kim, Dong Hyun; Yang, Jinho; Kim, Yoon-Keun; Kim, Jeong Hee</t>
  </si>
  <si>
    <t>Urine Bacteria-Derived Extracellular Vesicles and Allergic Airway Diseases in Children</t>
  </si>
  <si>
    <t>INTERNATIONAL ARCHIVES OF ALLERGY AND IMMUNOLOGY</t>
  </si>
  <si>
    <t>Asthma; Rhinitis; Microbiota; Extracellular vesicle; Metagenomic analysis</t>
  </si>
  <si>
    <t>CHRONIC RHINOSINUSITIS; MEMBRANE-VESICLES; RHINITIS; ASTHMA; MICROBIOME; DIVERSITY; WORLD</t>
  </si>
  <si>
    <t>Background: Microbiota and human allergic airway diseases have been proven to be interrelated. Bacteria-derived extracellular vesicle (EV)s are known to play important roles in interbacterial and human-bacteria communications, but their relationship with allergies has not been examined yet. Urine EVs were investigated to determine whether they could be used as biomarkers for monitoring allergic airway diseases in children. Methods: Subjects were 4 groups of chronic rhinitis (CR), allergic rhinitis (AR), atopic asthma (AS) and healthy controls. Single voided urine samples were collected. Urine EVs were isolated and their DNA was extracted for 16S-rDNA pyrosequencing. Results: A total of 118 children participated in this study; 27, 39, 19, and 33 were in the CR, AR, AS, and control group, respectively. The AR had a significantly high Chao-1 index than that of controls. Principal component analysis revealed dysbiosis in the CR, AR, and AS compared to the controls. One phylum and 19 families and genera were significantly enriched or depleted in the disease groups compared to the controls; the Actinobacteria phylum and the Sphingomonadaceae family were more abundant in the AS and CR, the Comamonadaceae family, the Propionibacteraceae family, Propionibacterium and Enhydrobacter were more enriched in the CR, and the Methylobacteriaceae family and Methylobacterium were more abundant in each disease group, while the Enterobacteriaceae family was depleted in each disease group. Conclusions: CR, AR, and AS had a distinct composition of urine EVs. Urine EVs could be an indicator for assessing allergic airway diseases in children. (C) 2018 S. Karger AG, Basel</t>
  </si>
  <si>
    <t>[Samra, Mona; Lim, Dae Hyun; Kim, Jeong Hee] Inha Univ, Sch Med, Dept Pediat, Incheon, South Korea; [Samra, Mona; Lim, Dae Hyun; Kim, Dong Hyun; Kim, Jeong Hee] Inha Univ Hosp, Environm Hlth Ctr Allerg Rhinitis, Incheon, South Korea; [Nam, Soo Kyung; Lim, Dae Hyun; Kim, Dong Hyun; Kim, Jeong Hee] Inha Univ Hosp, Dept Pediat, 27 Inhang Ro, Incheon 400711, South Korea; [Yang, Jinho; Kim, Yoon-Keun] MD Healthcare Inc, Seoul, South Korea</t>
  </si>
  <si>
    <t>Inha University; Inha University; Inha University Hospital; Inha University; Inha University Hospital</t>
  </si>
  <si>
    <t>Kim, JH (corresponding author), Inha Univ Hosp, Dept Pediat, 27 Inhang Ro, Incheon 400711, South Korea.</t>
  </si>
  <si>
    <t>kimjhmd@inha.ac.kr</t>
  </si>
  <si>
    <t>Yang, Jinho/0000-0001-7207-6846; Kim, Dong Hyun/0000-0001-9883-0229</t>
  </si>
  <si>
    <t>1018-2438</t>
  </si>
  <si>
    <t>1423-0097</t>
  </si>
  <si>
    <t>10.1159/000492677</t>
  </si>
  <si>
    <t>Allergy; Immunology</t>
  </si>
  <si>
    <t>WOS:000459512200006</t>
  </si>
  <si>
    <t>Heatlie, J; Chang, VE; Fitzgerald, S; Nursalim, Y; Parker, K; Lawrence, B; Print, CG; Blenkiron, C</t>
  </si>
  <si>
    <t>Heatlie, Jessica; Chang, Vanessa; Fitzgerald, Sandra; Nursalim, Yohanes; Parker, Kate; Lawrence, Ben; Print, Cristin G.; Blenkiron, Cherie</t>
  </si>
  <si>
    <t>Specialized Cell-Free DNA Blood Collection Tubes Can Be Repurposed for Extracellular Vesicle Isolation: A Pilot Study</t>
  </si>
  <si>
    <t>BIOPRESERVATION AND BIOBANKING</t>
  </si>
  <si>
    <t>exosomes; extracellular vesicles; cell-free DNA; cancer biomarker</t>
  </si>
  <si>
    <t>FREE RNA; PLASMA; SAMPLES</t>
  </si>
  <si>
    <t>Background:Liquid biopsies offer a minimally invasive approach to patient disease diagnosis and monitoring. However, these are highly affected by preprocessing variables with many protocols designed for downstream analysis of a single molecular biomarker. Here we investigate whether specialized blood tubes could be repurposed for the analysis of an increasingly valuable biomarker, extracellular vesicles (EVs). Methods:Blood was collected from three donors into K3-EDTA, Roche, or Streck cell-free DNA (cfDNA) collection tubes and processed using sequential centrifugation either immediately or after storage for 3 days. MicroEV were collected from platelet-poor plasma by 10,000gcentrifugation and NanoEVs isolated using size exclusion chromatography. Particle size and counts were assessed by Nanoparticle Tracking Analysis, protein quantitation by bicinchoninic acid assay (BCA) assay, and dot blotting for blood cell surface proteins. Results:MicroEVs and NanoEVs could be isolated from plasma collected using all three tube types. Major variations were seen with delayed time to processing. Both MicroEV particle number and protein content increased with the processing delay. The NanoEV number did not change with the time-delay but their protein quantity increased. EV-associated proteins predominantly arose from platelets (CD61) and erythrocytes (CD235a). However, leukocyte marker CD45 was only increased in NanoEVs from ethylenediaminetetraacetic acid (EDTA) tubes, suggestive of stabilization of nucleated cells by the specialized blood tubes. Epithelial cell surface marker EpCAM, often used as a marker of cancer, remained the same across conditions in both MicroEV and NanoEV preparations indicating that these EVs were stable with time. Conclusions:Specialized cfDNA collection tubes can be repurposed for MicroEV and NanoEV analysis; however, simple counting or using protein quantity as a surrogate of EV number may be confounded by preanalytical processing. The EVs would be suitable for disease selective EV subtype analysis if the molecular target of interest is not present in blood cells.</t>
  </si>
  <si>
    <t>[Heatlie, Jessica] Univ South Australia, Clin &amp; Hlth Sci, Adelaide, SA, Australia; [Heatlie, Jessica] Freemasons Fdn Ctr Mens Hlth, Adelaide, SA, Australia; [Chang, Vanessa; Nursalim, Yohanes] Univ Auckland, Fac Med &amp; Hlth Sci, Dept Obstet &amp; Gynaecol, Auckland, New Zealand; [Fitzgerald, Sandra; Print, Cristin G.; Blenkiron, Cherie] Univ Auckland, Fac Med &amp; Hlth Sci, Dept Mol Med &amp; Pathol, Auckland, New Zealand; [Parker, Kate; Lawrence, Ben] Univ Auckland, Fac Med &amp; Hlth Sci, Discipline Oncol, Auckland, New Zealand; [Lawrence, Ben; Print, Cristin G.; Blenkiron, Cherie] Univ Auckland, Maurice Wilkins Ctr Biodiscovery, Auckland, New Zealand</t>
  </si>
  <si>
    <t>University of South Australia; University of Auckland; University of Auckland; University of Auckland; University of Auckland</t>
  </si>
  <si>
    <t>Blenkiron, C (corresponding author), Univ Auckland, Dept Mol Med &amp; Pathol, Private Bag 92019, Auckland 1142, New Zealand.</t>
  </si>
  <si>
    <t>c.blenkiron@auckland.ac.nz</t>
  </si>
  <si>
    <t>Blenkiron, Cherie/0000-0002-0217-3808; Nursalim, Yohanes/0000-0002-9653-3762; Chang, Vanessa/0000-0002-5815-3478</t>
  </si>
  <si>
    <t>1947-5535</t>
  </si>
  <si>
    <t>1947-5543</t>
  </si>
  <si>
    <t>OCT 1</t>
  </si>
  <si>
    <t>10.1089/bio.2020.0060</t>
  </si>
  <si>
    <t>AUG 2020</t>
  </si>
  <si>
    <t>Cell Biology; Chemistry, Applied; Medical Laboratory Technology</t>
  </si>
  <si>
    <t>Cell Biology; Chemistry; Medical Laboratory Technology</t>
  </si>
  <si>
    <t>WOS:000566067300001</t>
  </si>
  <si>
    <t>Kahlert, C; Melo, SA; Protopopov, A; Tang, JB; Seth, S; Koch, M; Zhang, JH; Weitz, J; Chin, L; Futreal, A; Kalluri, R</t>
  </si>
  <si>
    <t>Kahlert, Christoph; Melo, Sonia A.; Protopopov, Alexei; Tang, Jiabin; Seth, Sahil; Koch, Moritz; Zhang, Jianhua; Weitz, Juergen; Chin, Lynda; Futreal, Andrew; Kalluri, Raghu</t>
  </si>
  <si>
    <t>Identification of Double-stranded Genomic DNA Spanning All Chromosomes with Mutated KRAS and p53 DNA in the Serum Exosomes of Patients with Pancreatic Cancer</t>
  </si>
  <si>
    <t>JOURNAL OF BIOLOGICAL CHEMISTRY</t>
  </si>
  <si>
    <t>Chromosomes; DNA; Exosomes; p53; Pancreatic Cancer; Serum; KRAS; Double-stranded genomic DNA; Mutations</t>
  </si>
  <si>
    <t>TUMOR; MICROVESICLES; CELLS; VESICLES; MICROENVIRONMENT; FORM</t>
  </si>
  <si>
    <t>Exosomes are small vesicles (50-150 nm) of endocytic origin that are released by many different cell types. Exosomes in the tumor microenvironment may play a key role in facilitating cell-cell communication. Exosomes are reported to predominantly contain RNA and proteins. In this study, we investigated whether exosomes from pancreatic cancer cells and serum from patients with pancreatic ductal adenocarcinoma contain genomic DNA. Our results provide evidence that exosomes contain &gt;10-kb fragments of double-stranded genomic DNA. Mutations in KRAS and p53 can be detected using genomic DNA from exosomes derived from pancreatic cancer cell lines and serum from patients with pancreatic cancer. In addition, using whole genome sequencing, we demonstrate that serum exosomes from patients with pancreatic cancer contain genomic DNA spanning all chromosomes. These results indicate that serum-derived exosomes can be used to determine genomic DNA mutations for cancer prediction, treatment, and therapy resistance.</t>
  </si>
  <si>
    <t>[Kahlert, Christoph; Melo, Sonia A.; Kalluri, Raghu] Univ Texas MD Anderson Canc Ctr, Dept Canc Biol, Metastasis Res Ctr, Houston, TX 77030 USA; [Kahlert, Christoph; Chin, Lynda] Heidelberg Univ, Dept Gen Visceral &amp; Transplantat Surg, D-69120 Heidelberg, Germany; [Protopopov, Alexei; Tang, Jiabin; Seth, Sahil; Zhang, Jianhua] Univ Texas MD Anderson Canc Ctr, Inst Appl Canc Sci, Houston, TX 77030 USA; [Koch, Moritz; Weitz, Juergen] Tech Univ Dresden, Dept Gen Visceral &amp; Thorac Surg, D-01307 Dresden, Germany; [Chin, Lynda; Futreal, Andrew] Univ Texas MD Anderson Canc Ctr, Dept Genom Med, Houston, TX 77054 USA</t>
  </si>
  <si>
    <t>University of Texas System; UTMD Anderson Cancer Center; Ruprecht Karls University Heidelberg; University of Texas System; UTMD Anderson Cancer Center; Technische Universitat Dresden; University of Texas System; UTMD Anderson Cancer Center</t>
  </si>
  <si>
    <t>Kalluri, R (corresponding author), Univ Texas MD Anderson Canc Ctr, Dept Canc Biol, Metastasis Res Ctr, 1515 Holcombe Blvd, Houston, TX 77030 USA.</t>
  </si>
  <si>
    <t>rkalluri@MDAnderson.org</t>
  </si>
  <si>
    <t>Seth, Sahil/I-5809-2019; Weitz, Juergen/L-7136-2018; Kalluri, Raghu/E-2677-2015; MELO, SONIA/H-8972-2013</t>
  </si>
  <si>
    <t>Seth, Sahil/0000-0003-4579-3959; Kalluri, Raghu/0000-0002-2190-547X; MELO, SONIA/0000-0002-2291-4263</t>
  </si>
  <si>
    <t>0021-9258</t>
  </si>
  <si>
    <t>1083-351X</t>
  </si>
  <si>
    <t>FEB 14</t>
  </si>
  <si>
    <t>10.1074/jbc.C113.532267</t>
  </si>
  <si>
    <t>WOS:000331403800004</t>
  </si>
  <si>
    <t>Brahmer, A; Neuberger, E; Esch-Heisser, L; Haller, N; Jorgensen, MM; Baek, R; Mobius, W; Simon, P; Kramer-Albers, EM</t>
  </si>
  <si>
    <t>Brahmer, Alexandra; Neuberger, Elmo; Esch-Heisser, Leona; Haller, Nils; Jorgensen, Malene Moeller; Baek, Rikke; Moebius, Wiebke; Simon, Perikles; Kraemer-Albers, Eva-Maria</t>
  </si>
  <si>
    <t>Platelets, endothelial cells and leukocytes contribute to the exercise-triggered release of extracellular vesicles into the circulation</t>
  </si>
  <si>
    <t>Extracellular vesicles; exosomes; exercise; plasma; size exclusion chromatography; immunobead isolation; multiplex phenotyping</t>
  </si>
  <si>
    <t>IMAGING FLOW-CYTOMETRY; PHYSICAL-EXERCISE; PREANALYTICAL PARAMETERS; FREE DNA; RESPONSES; MUSCLE; POPULATIONS; BIOLOGY; LOOKING; IMPACT</t>
  </si>
  <si>
    <t>Physical activity initiates a wide range of multi-systemic adaptations that promote mental and physical health. Recent work demonstrated that exercise triggers the release of extracellular vesicles (EVs) into the circulation, possibly contributing to exercise-associated adaptive systemic signalling. Circulating EVs comprise a heterogeneous collection of different EV-subclasses released from various cell types. So far, a comprehensive picture of the parental and target cell types, EV-subpopulation diversity and functional properties of EVs released during exercise (ExerVs) is lacking. Here, we performed a detailed EV-phenotyping analysis to explore the cellular origin and potential subtypes of ExerVs. Healthy male athletes were subjected to an incremental cycling test until exhaustion and blood was drawn before, during, and immediately after the test. Analysis of total blood plasma by EV Array suggested endothelial and leukocyte characteristics of ExerVs. We further purified ExerVs from plasma by size exclusion chromatography as well as CD9-, CD63- or CD81-immunobead isolation to examine ExerV-subclass dynamics. EV-marker analysis demonstrated increasing EV-levels during cycling exercise, with highest levels at peak exercise in all EV-subclasses analysed. Phenotyping of ExerVs using a multiplexed flow-cytometry platform revealed a pattern of cell surface markers associated with ExerVs and identified lymphocytes (CD4, CD8), monocytes (CD14), platelets (CD41, CD42, CD62P), endothelial cells (CD105, CD146) and antigen presenting cells (MHC-II) as ExerV-parental cells. We conclude that multiple cell types associated with the circulatory system contribute to a pool of heterogeneous ExerVs, which may be involved in exercise-related signalling mechanisms and tissue crosstalk.</t>
  </si>
  <si>
    <t>[Brahmer, Alexandra; Esch-Heisser, Leona; Kraemer-Albers, Eva-Maria] Johannes Gutenberg Univ Mainz, Inst Dev Biol &amp; Neurobiol, Biol Extracellular Vesicles, Mainz, Germany; [Brahmer, Alexandra; Neuberger, Elmo; Haller, Nils; Simon, Perikles] Johannes Gutenberg Univ Mainz, Dept Sports Med Rehabil &amp; Dis Prevent, Mainz, Germany; [Jorgensen, Malene Moeller; Baek, Rikke] Aalborg Univ Hosp, Dept Clin Immunol, Aalborg, Denmark; [Jorgensen, Malene Moeller; Baek, Rikke] Part Extracellular Vesicle Res Ctr Denmark EVsear, Aalborg, Denmark; [Moebius, Wiebke] Max Planck Inst Expt Med, Dept Neurogenet, Electron Microscopy Core Unit, Gottingen, Germany; [Moebius, Wiebke] Ctr Nanoscale Microscopy &amp; Mol Physiol Brain CNMP, Gottingen, Germany</t>
  </si>
  <si>
    <t>Johannes Gutenberg University of Mainz; Johannes Gutenberg University of Mainz; Aalborg University; Max Planck Society</t>
  </si>
  <si>
    <t>Kramer-Albers, EM (corresponding author), Johannes Gutenberg Univ Mainz, Inst Dev Biol &amp; Neurobiol, Biol Extracellular Vesicles, Mainz, Germany.;Simon, P (corresponding author), Johannes Gutenberg Univ Mainz, Dept Sports Med Rehabil &amp; Dis Prevent, Mainz, Germany.</t>
  </si>
  <si>
    <t>Eva-Maria, Kraemer-Albers/AAP-8805-2020; Joergensen, Malene/AFS-0738-2022; Simon, Perikles D/B-2293-2013; Brahmer, Alexandra/ABI-6051-2020; Haller, Nils/AAF-1107-2021</t>
  </si>
  <si>
    <t>Eva-Maria, Kraemer-Albers/0000-0001-7994-1185; Simon, Perikles D/0000-0002-7996-4034; Brahmer, Alexandra/0000-0001-5963-4209; Haller, Nils/0000-0002-7066-7615; Jorgensen, Malene Moller/0000-0003-1381-3863; /0000-0002-2902-7165</t>
  </si>
  <si>
    <t>DEC 1</t>
  </si>
  <si>
    <t>10.1080/20013078.2019.1615820</t>
  </si>
  <si>
    <t>WOS:000469231700001</t>
  </si>
  <si>
    <t>Taylor, C; Chacko, S; Davey, M; Lacroix, J; MacPherson, A; Finn, N; Wajnberg, G; Ghosh, A; Crapoulet, N; Lewis, SM; Ouellette, RJ</t>
  </si>
  <si>
    <t>Taylor, Catherine; Chacko, Simi; Davey, Michelle; Lacroix, Jacynthe; MacPherson, Alexander; Finn, Nicholas; Wajnberg, Gabriel; Ghosh, Anirban; Crapoulet, Nicolas; Lewis, Stephen M.; Ouellette, Rodney J.</t>
  </si>
  <si>
    <t>Peptide-Affinity Precipitation of Extracellular Vesicles and Cell-Free DNA Improves Sequencing Performance for the Detection of Pathogenic Mutations in Lung Cancer Patient Plasma</t>
  </si>
  <si>
    <t>biomarkers; lung cancer; exosomes; extracellular vesicles; liquid biopsy; genetic profiling; next generation sequencing</t>
  </si>
  <si>
    <t>TUMOR-DNA; EXOSOMES; BIOMARKERS; PROTEINS</t>
  </si>
  <si>
    <t>Liquid biopsy is a minimally-invasive diagnostic method that may improve access to molecular profiling for non-small cell lung cancer (NSCLC) patients. Although cell-free DNA (cf-DNA) isolation from plasma is the standard liquid biopsy method for detecting DNA mutations in cancer patients, the sensitivity can be highly variable. Vn96 is a peptide with an affinity for both extracellular vesicles (EVs) and circulating cf-DNA. In this study, we evaluated whether peptide-affinity (PA) precipitation of EVs and cf-DNA from NSCLC patient plasma improves the sensitivity of single nucleotide variants (SNVs) detection and compared observed SNVs with those reported in the matched tissue biopsy. NSCLC patient plasma was subjected to either PA precipitation or cell-free methods and total nucleic acid (TNA) was extracted; SNVs were then detected by next-generation sequencing (NGS). PA led to increased recovery of DNA as well as an improvement in NGS sequencing parameters when compared to cf-TNA. Reduced concordance with tissue was observed in PA-TNA (62%) compared to cf-TNA (81%), mainly due to identification of SNVs in PA-TNA that were not observed in tissue. EGFR mutations were detected in PA-TNA with 83% sensitivity and 100% specificity. In conclusion, PA-TNA may improve the detection limits of low-abundance alleles using NGS.</t>
  </si>
  <si>
    <t>[Taylor, Catherine; Chacko, Simi; Davey, Michelle; Lacroix, Jacynthe; MacPherson, Alexander; Wajnberg, Gabriel; Ghosh, Anirban; Crapoulet, Nicolas; Lewis, Stephen M.; Ouellette, Rodney J.] Atlantic Canc Res Inst, Moncton, NB E1C 8X3, Canada; [Finn, Nicholas] Dr Leon Richard Oncol Ctr, Moncton, NB E1C 8X3, Canada; [Lewis, Stephen M.; Ouellette, Rodney J.] Univ Moncton, Dept Chem &amp; Biochem, Moncton, NB E1A 3E9, Canada; [Lewis, Stephen M.] Beatrice Hunter Canc Res Inst, Halifax, NS B3H 4R2, Canada; [Ghosh, Anirban] Concordia Univ, Dept Mech Ind &amp; Aerosp Engn, Montreal, PQ H3G 1M8, Canada</t>
  </si>
  <si>
    <t>University of Moncton; Concordia University - Canada</t>
  </si>
  <si>
    <t>Ouellette, RJ (corresponding author), Atlantic Canc Res Inst, Moncton, NB E1C 8X3, Canada.;Ouellette, RJ (corresponding author), Univ Moncton, Dept Chem &amp; Biochem, Moncton, NB E1A 3E9, Canada.</t>
  </si>
  <si>
    <t>catherinet@canceratl.ca; SimiC@canceratl.ca; MichelleD@canceratl.ca; Jacynthe.Lacroix@canceratl.ca; AlexanderM@canceratl.ca; Nicholas.Finn@vitalitenb.ca; GabrielW@canceratl.ca; anirgho@gmail.com; Nicolas.Crapoulet@vitalitenb.ca; StephenL@canceratl.ca; RodneyO@canceratl.ca</t>
  </si>
  <si>
    <t>Wajnberg, Gabriel/AAQ-4270-2021; Lewis, Stephen/E-5533-2010</t>
  </si>
  <si>
    <t>Wajnberg, Gabriel/0000-0002-4479-4063; Lewis, Stephen/0000-0001-9537-5822; Finn, Nicholas/0000-0002-4908-6824</t>
  </si>
  <si>
    <t>10.3390/ijms21239083</t>
  </si>
  <si>
    <t>WOS:000597589700001</t>
  </si>
  <si>
    <t>Xu, ZQ; Xie, YS; Zhou, C; Hu, Q; Gu, T; Yang, J; Zheng, EQ; Huang, SX; Xu, Z; Cai, GY; Liu, DW; Wu, ZF; Hong, LJ</t>
  </si>
  <si>
    <t>Xu, Zhiqian; Xie, Yanshe; Zhou, Chen; Hu, Qun; Gu, Ting; Yang, Jie; Zheng, Enqin; Huang, Sixiu; Xu, Zheng; Cai, Gengyuan; Liu, Dewu; Wu, Zhenfang; Hong, Linjun</t>
  </si>
  <si>
    <t>Expression Pattern of Seminal Plasma Extracellular Vesicle Small RNAs in Boar Semen</t>
  </si>
  <si>
    <t>FRONTIERS IN VETERINARY SCIENCE</t>
  </si>
  <si>
    <t>seminal plasma; extracellular vesicles; miRNA; piRNA; boar</t>
  </si>
  <si>
    <t>DNA METHYLTRANSFERASE EXPRESSION; MATURATION; BIOLOGY; SPERM; CELLS</t>
  </si>
  <si>
    <t>Extracellular vesicles (EVs) regulate multiple physiological processes. Seminal plasma contains numerous EVs that may deliver functional molecules such as small RNAs (sRNAs) to the sperm. However, the RNA profiles in the boar seminal plasma extracellular vesicles (SP-EVs) and its function have not been characterized. The aim of this study was to characterize the functions and sRNA profiles in the boar SP-EVs using deep sequencing technology. Briefly, boar SP-EVs were isolated by differential ultracentrifugation and confirmed with a transmission electron microscope (TEM), nanoparticle tracking analysis (NTA), and Western blot. The isolated boar SP-EVs contained numerous and diverse sRNA families, including microRNAs (miRNAs, 9.45% of the total reads), PIWI-interacting RNAs (piRNAs, 15.25% of the total reads), messenger RNA fragments (mRNA, 25.30% of the total reads), and tRNA-derived small RNAs (tsRNA, 0.01% of the total reads). A total of 288 known miRNAs, 37 novel miRNA, and 19,749 piRNAs were identified in boar SP-EVs. The identified ssc-miR-21-5p may confer negative effects on sperm fertility based on a dual-luciferase reporter experiment. This study therefore provides an effective method to isolate SP-EVs and characterizes the sRNA profile.</t>
  </si>
  <si>
    <t>[Xu, Zhiqian; Xie, Yanshe; Zhou, Chen; Hu, Qun; Gu, Ting; Yang, Jie; Zheng, Enqin; Huang, Sixiu; Xu, Zheng; Cai, Gengyuan; Liu, Dewu; Wu, Zhenfang; Hong, Linjun] South China Agr Univ, Coll Anim Sci, Guangdong Prov Key Lab Agroanim Genom &amp; Mol Breed, Natl Engn Res Ctr Breeding Swine Ind, Guangzhou, Peoples R China; [Xu, Zhiqian; Xie, Yanshe; Zhou, Chen; Hu, Qun; Gu, Ting; Yang, Jie; Zheng, Enqin; Huang, Sixiu; Xu, Zheng; Cai, Gengyuan; Liu, Dewu; Wu, Zhenfang; Hong, Linjun] Lingnan Guangdong Lab Modern Agr, Guangzhou, Peoples R China</t>
  </si>
  <si>
    <t>South China Agricultural University</t>
  </si>
  <si>
    <t>Wu, ZF; Hong, LJ (corresponding author), South China Agr Univ, Coll Anim Sci, Guangdong Prov Key Lab Agroanim Genom &amp; Mol Breed, Natl Engn Res Ctr Breeding Swine Ind, Guangzhou, Peoples R China.;Wu, ZF; Hong, LJ (corresponding author), Lingnan Guangdong Lab Modern Agr, Guangzhou, Peoples R China.</t>
  </si>
  <si>
    <t>wzfemail@163.com; linjun.hong@scau.edu.cn</t>
  </si>
  <si>
    <t>Xu, Zhiqian/0000-0002-2368-421X</t>
  </si>
  <si>
    <t>2297-1769</t>
  </si>
  <si>
    <t>NOV 11</t>
  </si>
  <si>
    <t>10.3389/fvets.2020.585276</t>
  </si>
  <si>
    <t>Veterinary Sciences</t>
  </si>
  <si>
    <t>WOS:000591903200001</t>
  </si>
  <si>
    <t>Guo, KZ; Li, ZB; Win, A; Coreas, R; Adkins, GB; Cui, XP; Yan, D; Cao, MH; Wang, SE; Zhong, WW</t>
  </si>
  <si>
    <t>Guo, Kaizhu; Li, Zongbo; Win, Allison; Coreas, Roxana; Adkins, Gary Brent; Cui, Xinping; Yan, Dong; Cao, Minghui; Wang, Shizhen Emily; Zhong, Wenwan</t>
  </si>
  <si>
    <t>Calibration-free analysis of surface proteins on single extracellular vesicles enabled by DNA nanostructure</t>
  </si>
  <si>
    <t>BIOSENSORS &amp; BIOELECTRONICS</t>
  </si>
  <si>
    <t>Extracellular vesicle; DNA nanostructure; Fluorescence microscopy; Protein profiling; Cancer diagnosis</t>
  </si>
  <si>
    <t>BIOLOGY; AMPLIFICATION; EXOSOMES; GROWTH</t>
  </si>
  <si>
    <t>Extracellular vesicles (EVs) are essential intercellular communicators that are of increasing interest as diagnostic biomarkers. Exploring their biological functions and clinical values, however, remains challenging due to their small sizes and high heterogeneity. Herein, we report an ultrasensitive method that employs target-initiated construction of DNA nanostructure to detect single EVs with an input as low as 100 vesicles/mu L. Taking advantage of both DNA nanostructure labeling and EV membrane staining, the method can also permit calibration-free analysis of the protein profiles among different EV samples, leading to clear EV differentiation by their cell of origin. Moreover, this method allows co-localization of dual protein markers on the same EV, and the increased number of EVs carrying dual tumor proteins present in human serum could differentiate cancer patients at the early developmental stage from healthy controls. Our results demonstrate the great potential of this single-EV visualization method in non-invasive detection of the EV-based protein biomarkers for cancer diagnosis and treatment monitoring.</t>
  </si>
  <si>
    <t>[Guo, Kaizhu; Li, Zongbo; Win, Allison; Adkins, Gary Brent; Zhong, Wenwan] Univ Calif Riverside, Dept Chem, Riverside, CA 92521 USA; [Coreas, Roxana; Zhong, Wenwan] Univ Calif Riverside, Environm Toxicol Grad Program, Riverside, CA 92521 USA; [Cui, Xinping] Univ Calif Riverside, Dept Stat, Riverside, CA 92521 USA; [Yan, Dong] Univ Calif Riverside, Nanofabricat Facil, Riverside, CA 92521 USA; [Cao, Minghui; Wang, Shizhen Emily] Univ Calif San Diego, Dept Pathol, La Jolla, CA 92093 USA</t>
  </si>
  <si>
    <t>University of California System; University of California Riverside; University of California System; University of California Riverside; University of California System; University of California Riverside; University of California System; University of California Riverside; University of California System; University of California San Diego</t>
  </si>
  <si>
    <t>Zhong, WW (corresponding author), Univ Calif Riverside, Dept Chem, Riverside, CA 92521 USA.</t>
  </si>
  <si>
    <t>wenwan.zhong@ucr.edu</t>
  </si>
  <si>
    <t>Coreas, Roxana/0000-0001-6057-4717</t>
  </si>
  <si>
    <t>0956-5663</t>
  </si>
  <si>
    <t>1873-4235</t>
  </si>
  <si>
    <t>NOV 15</t>
  </si>
  <si>
    <t>10.1016/j.bios.2021.113502</t>
  </si>
  <si>
    <t>JUL 2021</t>
  </si>
  <si>
    <t>Biophysics; Biotechnology &amp; Applied Microbiology; Chemistry, Analytical; Electrochemistry; Nanoscience &amp; Nanotechnology</t>
  </si>
  <si>
    <t>Biophysics; Biotechnology &amp; Applied Microbiology; Chemistry; Electrochemistry; Science &amp; Technology - Other Topics</t>
  </si>
  <si>
    <t>WOS:000704056300003</t>
  </si>
  <si>
    <t>Waldenstrom, A; Genneback, N; Hellman, U; Ronquist, G</t>
  </si>
  <si>
    <t>Waldenstrom, Anders; Genneback, Nina; Hellman, Urban; Ronquist, Gunnar</t>
  </si>
  <si>
    <t>Cardiomyocyte Microvesicles Contain DNA/RNA and Convey Biological Messages to Target Cells</t>
  </si>
  <si>
    <t>EXTRACELLULAR ORGANELLES PROSTASOMES; ADENOSINE-TRIPHOSPHATASE; MEMBRANE-VESICLES; EPITHELIAL-CELLS; EXOSOMES; SECRETION; ASSOCIATION; SPERMATOZOA; ACTIVATION; FUSION</t>
  </si>
  <si>
    <t>Background: Shedding microvesicles are membrane released vesicles derived directly from the plasma membrane. Exosomes are released membrane vesicles of late endosomal origin that share structural and biochemical characteristics with prostasomes. Microvesicles/exosomes can mediate messages between cells and affect various cell-related processes in their target cells. We describe newly detected microvesicles/exosomes from cardiomyocytes and depict some of their biological functions. Methodology/Principal Findings: Microvesicles/exosomes from media of cultured cardiomyocytes derived from adult mouse heart were isolated by differential centrifugation including preparative ultracentrifugation and identified by transmission electron microscopy and flow cytometry. They were surrounded by a bilayered membrane and flow cytometry revealed presence of both caveolin-3 and flotillin-1 while clathrin and annexin-2 were not detected. Microvesicle/exosome mRNA was identified and out of 1520 detected mRNA, 423 could be directly connected in a biological network. Furthermore, by a specific technique involving TDT polymerase, 343 different chromosomal DNA sequences were identified in the microvesicles/exosomes. Microvesicle/exosomal DNA transfer was possible into target fibroblasts, where exosomes stained for DNA were seen in the fibroblast cytosol and even in the nuclei. The gene expression was affected in fibroblasts transfected by microvesicles/exosomes and among 333 gene expression changes there were 175 upregulations and 158 downregulations compared with controls. Conclusions/Significance: Our study suggests that microvesicles/exosomes released from cardiomyocytes, where we propose that exosomes derived from cardiomyocytes could be denoted cardiosomes, can be involved in a metabolic course of events in target cells by facilitating an array of metabolism-related processes including gene expression changes.</t>
  </si>
  <si>
    <t>[Waldenstrom, Anders; Genneback, Nina; Hellman, Urban] Umea Univ, Dept Publ Hlth &amp; Clin Med Med, Umea, Sweden; [Waldenstrom, Anders; Hellman, Urban] Umea Univ Hosp, Ctr Heart, S-90185 Umea, Sweden; [Ronquist, Gunnar] Univ Uppsala Hosp, Dept Med Sci, Uppsala, Sweden</t>
  </si>
  <si>
    <t>Umea University; Umea University; Uppsala University; Uppsala University Hospital</t>
  </si>
  <si>
    <t>Waldenstrom, A (corresponding author), Umea Univ, Dept Publ Hlth &amp; Clin Med Med, Umea, Sweden.</t>
  </si>
  <si>
    <t>anders.waldenstrom@medicin.umu.se</t>
  </si>
  <si>
    <t>Hellman, Urban/L-7820-2019</t>
  </si>
  <si>
    <t>Hellman, Urban/0000-0002-3822-0725; Waldenstrom, Anders/0000-0002-5304-0802</t>
  </si>
  <si>
    <t>APR 10</t>
  </si>
  <si>
    <t>e34653</t>
  </si>
  <si>
    <t>10.1371/journal.pone.0034653</t>
  </si>
  <si>
    <t>WOS:000305297500049</t>
  </si>
  <si>
    <t>Zhang, WT; Lu, S; Pu, DD; Zhang, HP; Yang, L; Zeng, P; Su, FX; Chen, ZC; Guo, M; Gu, Y; Luo, YM; Hu, HM; Lu, YP; Chen, F; Gao, Y</t>
  </si>
  <si>
    <t>Zhang, Weiting; Lu, Sen; Pu, Dandan; Zhang, Haiping; Yang, Lin; Zeng, Peng; Su, Fengxia; Chen, Zhichao; Guo, Mei; Gu, Ying; Luo, Yanmei; Hu, Huamei; Lu, Yanping; Chen, Fang; Gao, Ya</t>
  </si>
  <si>
    <t>Detection of fetal trisomy and single gene disease by massively parallel sequencing of extracellular vesicle DNA in maternal plasma: a proof-of-concept validation</t>
  </si>
  <si>
    <t>BMC MEDICAL GENOMICS</t>
  </si>
  <si>
    <t>Extracellular vesicles; evDNA; Plasma cell-free DNA; Massively parallel sequencing; Fetal trisomy; Single gene disease</t>
  </si>
  <si>
    <t>PLACENTA-DERIVED EXOSOMES; SYNCYTIOTROPHOBLAST MICROVESICLES; GENOMIC DNA; BIOMARKER; CIRCULATION; MIRNA</t>
  </si>
  <si>
    <t>Background During human pregnancy, placental trophectoderm cells release extracellular vesicles (EVs) into maternal circulation. Trophoblasts also give rise to cell-free DNA (cfDNA) in maternal blood, and has been used for noninvasive prenatal screening for chromosomal aneuploidy. We intended to prove the existence of DNA in the EVs (evDNA) of maternal blood, and compared evDNA with plasma cfDNA in terms of genome distribution, fragment length, and the possibility of detecting genetic diseases. Methods Maternal blood from 20 euploid pregnancies, 9 T21 pregnancies, 3 T18 pregnancies, 1 T13 pregnancy, and 2 pregnancies with FGFR3 mutations were obtained. EVs were separated from maternal plasma, and confirmed by transmission electronic microscopy (TEM), western blotting, and flow cytometry (FACS). evDNA was extracted and its fetal origin was confirmed by quantitative PCR (qPCR). Pair-end (PE) whole genome sequencing was performed to characterize evDNA, and the results were compared with that of cfDNA. The fetal risk of aneuploidy and monogenic diseases was analyzed using the evDNA sequencing data. Results EVs separated from maternal plasma were confirmed with morphology by TEM, and protein markers of CD9, CD63, CD81 as well as the placental specific protein placental alkaline phosphatase (PLAP) were confirmed by western blotting or flow cytometry. EvDNA could be successfully extracted for qPCR and sequencing from the plasma EVs. Sequencing data showed that evDNA span on all 23 pairs of chromosomes and mitochondria, sharing a similar distribution pattern and higher GC content comparing with cfDNA. EvDNA showed shorter fragments yet lower fetal fraction than cfDNA. EvDNA could be used to correctly determine fetal gender, trisomies, and de novo FGFR3 mutations. Conclusions We proved that fetal DNA could be detected in EVs separated from maternal plasma. EvDNA shared some similar features to plasma cfDNA, and could potentially be used to detect genetic diseases in fetus.</t>
  </si>
  <si>
    <t>[Zhang, Weiting; Lu, Sen; Pu, Dandan; Zhang, Haiping; Yang, Lin; Zeng, Peng; Su, Fengxia; Gu, Ying; Chen, Fang; Gao, Ya] BGI Shenzhen, Shenzhen 518083, Peoples R China; [Zhang, Weiting; Chen, Fang; Gao, Ya] BGI Shenzhen, China Natl GeneBank, Shenzhen 518120, Peoples R China; [Chen, Zhichao; Guo, Mei] BGI Shenzhen, BGI Genom, Shenzhen 518083, Peoples R China; [Luo, Yanmei; Hu, Huamei] Army Med Univ, Third Mil Med Univ, Southwest Hosp, Prenatal Diag Ctr,Dept Gynecol &amp; Obstet, Chongqing, Peoples R China; [Lu, Yanping] Chinese Peoples Liberat Army Gen Hosp, Dept Obstet &amp; Gynecol, Beijing 100853, Peoples R China</t>
  </si>
  <si>
    <t>Beijing Genomics Institute (BGI); Beijing Genomics Institute (BGI); Beijing Genomics Institute (BGI); Army Medical University; Chinese People's Liberation Army General Hospital</t>
  </si>
  <si>
    <t>Chen, F; Gao, Y (corresponding author), BGI Shenzhen, Shenzhen 518083, Peoples R China.;Chen, F; Gao, Y (corresponding author), BGI Shenzhen, China Natl GeneBank, Shenzhen 518120, Peoples R China.</t>
  </si>
  <si>
    <t>fangchen@genomics.cn; gaoya@genomics.cn</t>
  </si>
  <si>
    <t>1755-8794</t>
  </si>
  <si>
    <t>NOV 4</t>
  </si>
  <si>
    <t>10.1186/s12920-019-0590-8</t>
  </si>
  <si>
    <t>WOS:000494467900001</t>
  </si>
  <si>
    <t>Han, ZW; Wan, FN; Deng, JQ; Zhao, JX; Li, YK; Yang, YJ; Jiang, Q; Ding, BQ; Liu, C; Dai, B; Sun, JS</t>
  </si>
  <si>
    <t>Han, Ziwei; Wan, Fangning; Deng, Jinqi; Zhao, Junxiang; Li, Yike; Yang, Yunjie; Jiang, Qiao; Ding, Baoquan; Liu, Chao; Dai, Bo; Sun, Jiashu</t>
  </si>
  <si>
    <t>Ultrasensitive detection of mRNA in extracellular vesicles using DNA tetrahedron-based thermophoretic assay</t>
  </si>
  <si>
    <t>NANO TODAY</t>
  </si>
  <si>
    <t>DNA tetrahedron; Thermophoresis; Extracellular vesicles; MRNA; Detection</t>
  </si>
  <si>
    <t>MOLECULAR BEACON; PROSTATE-CANCER</t>
  </si>
  <si>
    <t>The analysis of messenger RNA (mRNA) in extracellular vesicles (EVs) may provide unprecedented opportunities for non-invasive and rapid diagnosis of cancers. However, clinical utility of EV mRNA is often hampered by the extremely low abundance of mRNA in EVs and the complicated procedures for mRNA detection. Here we address these challenges by developing an ultrasensitive assay for in situ measurement of EV mRNA, which combines FRET-based DNA tetrahedron (FDT) for efficient EV internalization and target mRNA detection, and size-selective thermophoretic accumulation for amplification of FRET signal in EVs. This DNA tetrahedron-based thermophoretic assay (DTTA) achieves a limit of detection (LoD) of 14 aM for detecting PSA mRNA in serum EVs, with resorting to RNA extraction and enzyme amplification. The DTTA showed that EV PSA mRNA outperforms serum PSA protein, the gold standard in PCa screening, for discrimination between prostate cancer and benign prostatic hyperplasia (area under the curve: 0.93 versus 0.74; 42 patients). This technology may greatly expand the applications of DNA nanostructure-enabled liquid biopsy. (c) 2021 Elsevier Ltd. All rights reserved.</t>
  </si>
  <si>
    <t>[Han, Ziwei; Deng, Jinqi; Zhao, Junxiang; Li, Yike; Jiang, Qiao; Ding, Baoquan; Liu, Chao; Sun, Jiashu] CAS Ctr Excellence Nanosci, Beijing Engn Res Ctr BioNanotechnol, Natl Ctr Nanosci &amp; Technol, CAS Key Lab Standardizat &amp; Measurement Nanotechno, Beijing 100190, Peoples R China; [Han, Ziwei; Deng, Jinqi; Zhao, Junxiang; Li, Yike; Jiang, Qiao; Ding, Baoquan; Liu, Chao; Sun, Jiashu] Univ Chinese Acad Sci, Sch Future Technol, Beijing 100049, Peoples R China; [Wan, Fangning; Yang, Yunjie; Dai, Bo] Fudan Univ, Dept Urol, Shanghai Canc Ctr, Shanghai 200032, Peoples R China; [Wan, Fangning; Yang, Yunjie; Dai, Bo] Fudan Univ, Shanghai Med Coll, Dept Oncol, Shanghai 200032, Peoples R China</t>
  </si>
  <si>
    <t>Chinese Academy of Sciences; National Center for Nanoscience &amp; Technology - China; Chinese Academy of Sciences; University of Chinese Academy of Sciences, CAS; Fudan University; Fudan University</t>
  </si>
  <si>
    <t>Liu, C; Sun, JS (corresponding author), CAS Ctr Excellence Nanosci, Beijing Engn Res Ctr BioNanotechnol, Natl Ctr Nanosci &amp; Technol, CAS Key Lab Standardizat &amp; Measurement Nanotechno, Beijing 100190, Peoples R China.;Dai, B (corresponding author), Fudan Univ, Dept Urol, Shanghai Canc Ctr, Shanghai 200032, Peoples R China.</t>
  </si>
  <si>
    <t>liuc@nanoctr.cn; bodai1978@126.com; sunjs@nanoctr.cn</t>
  </si>
  <si>
    <t>Sun, Jiashu/P-9876-2018</t>
  </si>
  <si>
    <t>Sun, Jiashu/0000-0003-4255-6202</t>
  </si>
  <si>
    <t>1748-0132</t>
  </si>
  <si>
    <t>1878-044X</t>
  </si>
  <si>
    <t>10.1016/j.nantod.2021.101203</t>
  </si>
  <si>
    <t>MAY 2021</t>
  </si>
  <si>
    <t>Chemistry, Multidisciplinary; Nanoscience &amp; Nanotechnology; Materials Science, Multidisciplinary</t>
  </si>
  <si>
    <t>WOS:000670252700003</t>
  </si>
  <si>
    <t>Jeyaraman, M; Muthu, S; Gulati, A; Jeyaraman, N; Prajwal, GS; Jain, R</t>
  </si>
  <si>
    <t>Jeyaraman, Madhan; Muthu, Sathish; Gulati, Arun; Jeyaraman, Naveen; Prajwal, G. S.; Jain, Rashmi</t>
  </si>
  <si>
    <t>Mesenchymal Stem Cell-Derived Exosomes: A Potential Therapeutic Avenue in Knee Osteoarthritis</t>
  </si>
  <si>
    <t>CARTILAGE</t>
  </si>
  <si>
    <t>mesenchymal stem cells; exosomes; microvesicles; cartilage</t>
  </si>
  <si>
    <t>EXTRACELLULAR VESICLES; CARTILAGE DEGRADATION; HIP-OSTEOARTHRITIS; STROMAL CELLS; CANCER; SERUM; CHONDROCYTE; BIOMARKERS; MARKER; DNA</t>
  </si>
  <si>
    <t>Knee osteoarthritis is the leading cause of functional disability in adults. The goals of knee osteoarthritis management are directed toward symptomatic pain relief along with the attainment of the functional quality of life. The treatment strategy ranges from conservative to surgical management with reparative and restorative techniques. The emergence of cell-based therapies has paved the way for the usage of mesenchymal stem cells (MSCs) in cartilage disorders. Currently, global researchers are keen on their research on nanomedicine and targeted drug delivery. MSC-derived exosomes act as a directed therapy to halt the disease progression and to provide a pain-free range of movements with increased quality of cartilage on regeneration. International Society for Extracellular Vesicles and the European Network on Microvesicles and Exosomes in Health and Disease have formed guidelines to foster the use of the growing therapeutic potential of exosomal therapy in osteoarthritis. Although regenerative therapies with MSC are being seen to hold a future in the management of osteoarthritis, extracellular vesicle-based technology holds the key to unlock the potential toward knee preservation and regeneration. The intricate composition and uncertain functioning of exosomes are inquisitive facets warranting further exploration.</t>
  </si>
  <si>
    <t>[Jeyaraman, Madhan] Sharda Univ, Sch Med Sci &amp; Res, Dept Orthoped, Greater Noida 201306, Uttar Pradesh, India; [Muthu, Sathish] Govt Hosp, Karur, Tamil Nadu, India; [Gulati, Arun] Kalpana Chawla Govt Med Coll, Karnal, Haryana, India; [Jeyaraman, Naveen] Manipal Univ, Manipal, Karnataka, India; [Prajwal, G. S.] JJM Med Coll, Davangere, Karnataka, India; [Jain, Rashmi] Sharda Univ, Sch Med Sci &amp; Res, Greater Noida, Uttar Pradesh, India</t>
  </si>
  <si>
    <t>Sharda University; Manipal Academy of Higher Education (MAHE); Sharda University</t>
  </si>
  <si>
    <t>Jeyaraman, M (corresponding author), Sharda Univ, Sch Med Sci &amp; Res, Dept Orthoped, Greater Noida 201306, Uttar Pradesh, India.</t>
  </si>
  <si>
    <t>madhanjeyaraman@gmail.com</t>
  </si>
  <si>
    <t>Muthu, Sathish/G-5756-2018; Jeyaraman, Madhan/ABB-8464-2020; Gulati, Arun/ABE-9195-2020</t>
  </si>
  <si>
    <t>Muthu, Sathish/0000-0002-7143-4354; Jeyaraman, Madhan/0000-0002-9045-9493; GS, Prajwal/0000-0001-7345-2321</t>
  </si>
  <si>
    <t>1947-6035</t>
  </si>
  <si>
    <t>1947-6043</t>
  </si>
  <si>
    <t>1_SUPPL</t>
  </si>
  <si>
    <t>1_</t>
  </si>
  <si>
    <t>SI</t>
  </si>
  <si>
    <t>1572S</t>
  </si>
  <si>
    <t>1585S</t>
  </si>
  <si>
    <t>10.1177/1947603520962567</t>
  </si>
  <si>
    <t>OCT 2020</t>
  </si>
  <si>
    <t>Orthopedics</t>
  </si>
  <si>
    <t>WOS:000579270600001</t>
  </si>
  <si>
    <t>Li, YB; Bax, C; Patel, J; Vazquez, T; Ravishankar, A; Bashir, MM; Grinnell, M; Diaz, D; Werth, VP</t>
  </si>
  <si>
    <t>Li, Yubin; Bax, Christina; Patel, Jay; Vazquez, Thomas; Ravishankar, Adarsh; Bashir, Muhammad M.; Grinnell, Madison; Diaz, DeAnna; Werth, Victoria P.</t>
  </si>
  <si>
    <t>Plasma-derived DNA containing-extracellular vesicles induce STING-mediated proinflammatory responses in dermatomyositis</t>
  </si>
  <si>
    <t>THERANOSTICS</t>
  </si>
  <si>
    <t>extracellular vesicles; dsDNA; type I interferon; stimulator of interferon genes; dermatomyositis</t>
  </si>
  <si>
    <t>INTERFERON; INFLAMMATION; ACTIVATION; SIGNATURE; PEPTIDE; PATHWAY; ADULT</t>
  </si>
  <si>
    <t>Objectives: Extracellular vesicles (EVs) are lipid bilayer membrane vesicles that are present in various bodily fluids and have been implicated in autoimmune disease pathogenesis. Type I interferons (IFN), specifically IFN-beta, are uniquely elevated in dermatomyositis (DM). The stimulator of interferon genes (STING) works as a critical nucleic acid sensor and adaptor in type I IFN signaling with possible implications in autoimmune diseases such as DM. In the current study, we investigated whether circulating EVs contribute to proinflammatory effects in DM, whether these proinflammatory responses are mediated by the STING signaling pathway, and if so, by what mechanism STING is activated. Methods: We collected and characterized EVs from plasma of healthy controls (HC) and DM patients; analyzed their abilities to trigger proinflammatory cytokines release by ELISA, and explored STING signaling pathway activation using immunoblot and immunofluorescent staining. STING signaling pathway inhibitors and RNAi were used to further investigate whether STING was involved in EVs-triggered proinflammatory response. DNase/lipid destabilizing agent was utilized to digest EVs and their captured DNA contents to evaluate how EVs triggered STING-mediated proinflammatory response in DM. Results: EVs isolated from DM plasma triggered proinflammatory cytokines including type I IFN release with STING signaling pathway activation. The activated STING pathway was preferentially mediated by dsDNA captured by EVs. Suppression of STING or its downstream signaling proteins attenuated the EVs-mediated proinflammatory response. Conclusions: Plasma-derived, DNA containing-EVs induced STING-mediated proinflammatory effects in DM. Targeting the STING pathway may be a potential therapeutic approach for DM.</t>
  </si>
  <si>
    <t>[Li, Yubin; Bax, Christina; Patel, Jay; Vazquez, Thomas; Ravishankar, Adarsh; Bashir, Muhammad M.; Grinnell, Madison; Diaz, DeAnna; Werth, Victoria P.] Corporal Michael J Crescenz Vet Affairs Med Ctr, Philadelphia, PA USA; [Li, Yubin; Bax, Christina; Patel, Jay; Vazquez, Thomas; Ravishankar, Adarsh; Bashir, Muhammad M.; Grinnell, Madison; Diaz, DeAnna; Werth, Victoria P.] Univ Penn, Sch Med, Dept Dermatol, Philadelphia, PA 19104 USA</t>
  </si>
  <si>
    <t>University of Pennsylvania</t>
  </si>
  <si>
    <t>Werth, VP (corresponding author), Univ Penn, Dept Dermatol, Perelman Ctr Adv Med, Suite 1-330A,3400 Civ Ctr Blvd, Philadelphia, PA 19104 USA.</t>
  </si>
  <si>
    <t>werth@pennmedicine.upenn.edu</t>
  </si>
  <si>
    <t>Diaz, DeAnna/0000-0001-7056-0212</t>
  </si>
  <si>
    <t>1838-7640</t>
  </si>
  <si>
    <t>10.7150/thno.59152</t>
  </si>
  <si>
    <t>WOS:000655136400002</t>
  </si>
  <si>
    <t>Andreeva, OE; Shchegolev, YY; Scherbakov, AM; Mikhaevich, EI; Sorokin, DV; Gudkova, MV; Bure, IV; Kuznetsova, EB; Mikhaylenko, DS; Nemtsova, MV; Bagrov, DV; Krasil'nikov, MA</t>
  </si>
  <si>
    <t>Andreeva, Olga E.; Shchegolev, Yuri Y.; Scherbakov, Alexander M.; Mikhaevich, Ekaterina I.; Sorokin, Danila V.; Gudkova, Margarita V.; Bure, Irina V.; Kuznetsova, Ekaterina B.; Mikhaylenko, Dmitry S.; Nemtsova, Marina V.; Bagrov, Dmitry V.; Krasil'nikov, Mikhail A.</t>
  </si>
  <si>
    <t>Secretion of Mutant DNA and mRNA by the Exosomes of Breast Cancer Cells</t>
  </si>
  <si>
    <t>MOLECULES</t>
  </si>
  <si>
    <t>exosomes; breast cancer cells; DNA transferring; cancer; signalling</t>
  </si>
  <si>
    <t>STRANDED GENOMIC DNA; EXTRACELLULAR VESICLES; SERUM EXOSOMES; KRAS</t>
  </si>
  <si>
    <t>Exosomes are the small vesicles that are secreted by different types of normal and tumour cells and can incorporate and transfer their cargo to the recipient cells. The main goal of the present work was to study the tumour exosomes' ability to accumulate the parent mutant DNA or RNA transcripts with their following transfer to the surrounding cells. The experiments were performed on the MCF7 breast cancer cells that are characterized by the unique coding mutation in the PIK3CA gene. Using two independent methods, Sanger sequencing and allele-specific real-time PCR, we revealed the presence of the fragments of the mutant DNA and RNA transcripts in the exosomes secreted by the MCF7 cells. Furthermore, we demonstrated the MCF7 exosomes' ability to incorporate into the heterologous MDA-MB-231 breast cancer cells supporting the possible transferring of the exosomal cargo into the recipient cells. Sanger sequencing of the DNA from MDA-MB-231 cells (originally bearing a wild type of PIK3CA) treated with MCF7 exosomes showed no detectable amount of mutant DNA or RNA; however, using allele-specific real-time PCR, we revealed a minor signal from amplification of a mutant allele, showing a slight increase of mutant DNA in the exosome-treated MDA-MB-231 cells. The results demonstrate the exosome-mediated secretion of the fragments of mutant DNA and mRNA by the cancer cells and the exosomes' ability to transfer their cargo into the heterologous cells.</t>
  </si>
  <si>
    <t>[Andreeva, Olga E.; Shchegolev, Yuri Y.; Scherbakov, Alexander M.; Mikhaevich, Ekaterina I.; Sorokin, Danila V.; Gudkova, Margarita V.; Krasil'nikov, Mikhail A.] Minist Hlth Russia, NN Blokhin Natl Med Res Ctr Oncol, Inst Carcinogenesis, Dept Expt Tumor Biol, Moscow 115522, Russia; [Bure, Irina V.; Kuznetsova, Ekaterina B.; Mikhaylenko, Dmitry S.; Nemtsova, Marina V.] Sechenov Univ, IM Sechenov First Moscow State Med Univ, Inst Mol Med, Lab Med Genet, Moscow 119991, Russia; [Bagrov, Dmitry V.] Lomonosov Moscow State Univ, Fac Biol, Dept Bioengn, Moscow 119234, Russia</t>
  </si>
  <si>
    <t>Ministry of Health of the Russian Federation; Sechenov First Moscow State Medical University; Lomonosov Moscow State University</t>
  </si>
  <si>
    <t>Scherbakov, AM (corresponding author), Minist Hlth Russia, NN Blokhin Natl Med Res Ctr Oncol, Inst Carcinogenesis, Dept Expt Tumor Biol, Moscow 115522, Russia.</t>
  </si>
  <si>
    <t>tilberta@gmail.com; yurashhegolev@gmail.com; alex.scherbakov@gmail.com; k.mihaevich@gmail.com; dsorokin2018@gmail.com; gudkova@ronc.ru; bureira@mail.ru; kuznetsova.k@bk.ru; dimserg@mail.ru; nemtsova_m_v@mail.ru; bagrov@mail.bio.msu.ru; krasilnikovm1@yandex.ru</t>
  </si>
  <si>
    <t>Andreeva, Olga E/K-1304-2015; Kuznetsova, Ekaterina B/D-1671-2012; Mikhaylenko, Dmitry S/D-1637-2012; Gudkova, Margarita/ABC-7468-2021; Bagrov, Dmitry V./E-5867-2014; Nemtsova, Marina V/D-2156-2012; Scherbakov, Alexander/F-4914-2013</t>
  </si>
  <si>
    <t>Andreeva, Olga E/0000-0002-6015-6619; Kuznetsova, Ekaterina B/0000-0001-5825-0430; Mikhaylenko, Dmitry S/0000-0001-9780-8708; Bagrov, Dmitry V./0000-0002-6355-7282; Scherbakov, Alexander/0000-0002-2974-9555; Mikhaevich, Ekaterina/0000-0002-1299-9080; Shchegolev, Yuri/0000-0002-1490-6781</t>
  </si>
  <si>
    <t>1420-3049</t>
  </si>
  <si>
    <t>MAY</t>
  </si>
  <si>
    <t>10.3390/molecules26092499</t>
  </si>
  <si>
    <t>WOS:000650724100001</t>
  </si>
  <si>
    <t>Poveda, E; Tabernilla, A; Fitzgerald, W; Salgado-Barreira, A; Grandal, M; Perez, A; Marino, A; Alvarez, H; Valcarce, N; Gonzalez-Garcia, J; Bernardino, JI; Gutierrez, F; Fujioka, H; Crespo, M; Ruiz-Mateos, E; Margolis, L; Lederman, MM; Freeman, ML</t>
  </si>
  <si>
    <t>Poveda, Eva; Tabernilla, Andres; Fitzgerald, Wendy; Salgado-Barreira, Angel; Grandal, Marta; Perez, Alexandre; Marino, Ana; Alvarez, Hortensia; Valcarce, Nieves; Gonzalez-Garcia, Juan; Ignacio Bernardino, Jose; Gutierrez, Felix; Fujioka, Hisashi; Crespo, Manuel; Ruiz-Mateos, Ezequiel; Margolis, Leonid; Lederman, Michael M.; Freeman, Michael L.</t>
  </si>
  <si>
    <t>ECRIS Integrated Spanish AIDS Res</t>
  </si>
  <si>
    <t>Massive Release of CD9(+) Microvesicles in Human Immunodeficiency Virus Infection, Regardless of Virologic Control</t>
  </si>
  <si>
    <t>JOURNAL OF INFECTIOUS DISEASES</t>
  </si>
  <si>
    <t>elite controllers; extracellular vesicles; HIV; microvesicles; mitochondria</t>
  </si>
  <si>
    <t>T-CELL-ACTIVATION; MITOCHONDRIAL-DNA; HIV-INFECTION; PLASMA; ELITE; INFLAMMATION; LYMPHOCYTES; EXOSOMES; MARKERS</t>
  </si>
  <si>
    <t>A massive release of platelet-derived CD9(+) microvesicles occurs during HIV infection, regardless of virologic control or antiretroviral therapy administration. Some of these microvesicles contain mitochondria, but their prevalence and mitochondrial density are reduced in HIV infection. Background The role of extracellular vesicles (EVs) in human immunodeficiency virus (HIV) pathogenesis is unknown. We examine the cellular origin of plasma microvesicles (MVs), a type of ectocytosis-derived EV, the presence of mitochondria in MVs, and their relationship to circulating cell-free mitochondrial deoxyribonucleic acid (ccf-mtDNA) in HIV-infected patients and controls. Methods Five participant groups were defined: 30 antiretroviral therapy (ART)-naive; 30 ART-treated with nondetectable viremia; 30 elite controllers; 30 viremic controllers; and 30 HIV-uninfected controls. Microvesicles were quantified and characterized from plasma samples by flow cytometry. MitoTrackerDeepRed identified MVs containing mitochondria and ccf-mtDNA was quantified by real-time polymerase chain reaction. Results Microvesicle numbers were expanded at least 10-fold in all HIV-infected groups compared with controls. More than 79% were platelet-derived MVs. Proportions of MVs containing mitochondria (22.3% vs 41.6%) and MV mitochondrial density (706 vs 1346) were significantly lower among HIV-infected subjects than controls, lowest levels for those on ART. Microvesicle numbers correlated with ccf-mtDNA levels that were higher among HIV-infected patients. Conclusions A massive release of platelet-derived MVs occurs during HIV infection. Some MVs contain mitochondria, but their proportion and mitochondrial densities were lower in HIV infection than in controls. Platelet-derived MVs may be biomarkers of platelet activation, possibly reflecting pathogenesis even in absence of HIV replication.</t>
  </si>
  <si>
    <t>[Poveda, Eva; Tabernilla, Andres; Grandal, Marta] Complexo Hosp Univ Vigo, SERGAS UVigo, Grp Virol &amp; Pathogenesis, Galicia Sur Hlth Res Inst IIS Galicia Sur, Vigo, Spain; [Fitzgerald, Wendy; Margolis, Leonid] Eunice Kennedy Shriver Natl Inst Child Hlth &amp; Hum, Sect Intercellular Interact, NIH, Bethesda, MD USA; [Salgado-Barreira, Angel] Complexo Hosp Univ Vigo, Methodol &amp; Stat Unit, SERGAS UVigo, Galicia Sur Hlth Res Inst IIS Galicia Sur, Vigo, Spain; [Perez, Alexandre; Crespo, Manuel] Complexo Hosp Univ Vigo, Dept Internal Med, Infect Dis Unit, IIS Galicia Sur,SERGAS UVigo, Vigo, Spain; [Marino, Ana; Alvarez, Hortensia; Valcarce, Nieves] Univ Hosp Ferrol, Infect Dis Unit, La Coruna, Spain; [Gonzalez-Garcia, Juan; Ignacio Bernardino, Jose] Hosp Univ La Paz IdiPAZ, Infect Dis Unit, Madrid, Spain; [Gutierrez, Felix] Hosp Gen Elche, Infect Dis Unit, Alicante, Spain; [Gutierrez, Felix] Miguel Hernandez Univ, Alicante, Spain; [Fujioka, Hisashi] Case Western Reserve Univ, Sch Med, Cryoelectron Microscopy Core, Cleveland, OH USA; [Ruiz-Mateos, Ezequiel] Univ Seville, Virgen del Rocio Univ Hosp, Inst Biomed Seville IBiS, Clin Unit Infect Dis Clin Microbiol &amp; Prevent Med, Seville, Spain; [Lederman, Michael M.; Freeman, Michael L.] Case Western Reserve Univ, Div Infect Dis &amp; HIV Med, Cleveland, OH 44106 USA</t>
  </si>
  <si>
    <t>Complexo Hospitalario Universitario de Vigo; National Institutes of Health (NIH) - USA; NIH Eunice Kennedy Shriver National Institute of Child Health &amp; Human Development (NICHD); Complexo Hospitalario Universitario de Vigo; Complexo Hospitalario Universitario de Vigo; Complejo Hospitalario Universitario de Ferrol; Hospital Universitario La Paz; Universidad Miguel Hernandez de Elche; Case Western Reserve University; Consejo Superior de Investigaciones Cientificas (CSIC); University of Sevilla; CSIC-JA-USE - Instituto de Biomedicina de Sevilla (IBIS); Virgen del Rocio University Hospital; Case Western Reserve University</t>
  </si>
  <si>
    <t>Poveda, E (corresponding author), Hosp Alvaro Cunqueiro, Grp Virol &amp; Patogenesis, Inst Invest Sanitaria Galicia Sur IISGS, Bloque Tecn,Planta 2 Estr Clara Campoamor 341, Vigo 36312, Spain.</t>
  </si>
  <si>
    <t>eva.poveda.lopez@sergas.es</t>
  </si>
  <si>
    <t>Rodero, Félix Gutiérrez/Q-7880-2018; González, Alexandre Pérez/AAV-9311-2021</t>
  </si>
  <si>
    <t>Rodero, Félix Gutiérrez/0000-0002-9485-6867; González, Alexandre Pérez/0000-0003-4836-6768; POVEDA, EVA/0000-0003-4835-9875; Salgado-Barreira, Angel/0000-0003-4349-4947; Tabernilla, Andres/0000-0002-6141-9337; Gonzalez-Garcia, Juan/0000-0002-3652-002X</t>
  </si>
  <si>
    <t>0022-1899</t>
  </si>
  <si>
    <t>1537-6613</t>
  </si>
  <si>
    <t>MAR 15</t>
  </si>
  <si>
    <t>10.1093/infdis/jiaa375</t>
  </si>
  <si>
    <t>Immunology; Infectious Diseases; Microbiology</t>
  </si>
  <si>
    <t>WOS:000769069400015</t>
  </si>
  <si>
    <t>Zhang, KX; Yue, YL; Wu, SX; Liu, W; Shi, JJ; Zhang, ZZ</t>
  </si>
  <si>
    <t>Zhang, Kaixiang; Yue, Yale; Wu, Sixuan; Liu, Wei; Shi, Jinjin; Zhang, Zhenzhong</t>
  </si>
  <si>
    <t>Rapid Capture and Nondestructive Release of Extracellular Vesicles Using Aptamer-Based Magnetic Isolation</t>
  </si>
  <si>
    <t>ACS SENSORS</t>
  </si>
  <si>
    <t>extracellular vesicles; DNA aptamer; magnetic isolation; DNA structure-switch; nondestructive release</t>
  </si>
  <si>
    <t>EXOSOMES; BIOMARKERS; QUANTIFICATION; SEPARATION</t>
  </si>
  <si>
    <t>Extracellular vesicles (EVs) play important roles in cell- cell communication by transferring cargo proteins and nucleic acids between cells. Due to their small size (50-150 nm) and low density, rapid capture and nondestructive release of EVs remains a technical challenge which significantly hinders study of their biofunction and biomedical application. To address this issue, we designed a DNA aptamer-based system that enabled rapid capture and nondestructive release of EVs in 90 min with similar isolation efficiency to ultracentrifugation (around 78%). Moreover, because we designed a DNA structure-switch process to release the exosomes, the isolated EVs maintained high bioactivity in cell-uptake assay and wound-healing assays. Using this method, we can isolate EVs from clinical samples and found that the amount of MUC1 positive EVs in breast cancer patient plasma sample is significantly higher than that in healthy donors. This DNA aptamer-based magnetic isolation strategy can be potentially applied for the biofunction study of EVs and EV-based point-of-care clinical tests.</t>
  </si>
  <si>
    <t>[Zhang, Kaixiang; Yue, Yale; Wu, Sixuan; Liu, Wei; Shi, Jinjin; Zhang, Zhenzhong] Zhengzhou Univ, Sch Pharmaceut Sci, Zhengzhou 450001, Henan, Peoples R China; [Yue, Yale] Zhengzhou Univ, Acad Med Sci, Zhengzhou 450001, Henan, Peoples R China; [Zhang, Kaixiang; Wu, Sixuan; Liu, Wei; Shi, Jinjin; Zhang, Zhenzhong] Collaborat Innovat Ctr New Drug Res &amp; Safety Eval, Zhengzhou 450001, Henan, Peoples R China; [Zhang, Kaixiang; Wu, Sixuan; Liu, Wei; Shi, Jinjin; Zhang, Zhenzhong] Key Lab Targeting Therapy &amp; Diag Crit Dis, Zhengzhou 450001, Henan, Peoples R China</t>
  </si>
  <si>
    <t>Zhengzhou University; Zhengzhou University</t>
  </si>
  <si>
    <t>Liu, W; Shi, JJ; Zhang, ZZ (corresponding author), Zhengzhou Univ, Sch Pharmaceut Sci, Zhengzhou 450001, Henan, Peoples R China.;Liu, W; Shi, JJ; Zhang, ZZ (corresponding author), Collaborat Innovat Ctr New Drug Res &amp; Safety Eval, Zhengzhou 450001, Henan, Peoples R China.;Liu, W; Shi, JJ; Zhang, ZZ (corresponding author), Key Lab Targeting Therapy &amp; Diag Crit Dis, Zhengzhou 450001, Henan, Peoples R China.</t>
  </si>
  <si>
    <t>liuwei012@zzu.edu.cn; shijinyxy@zzu.edu.cn; zhangzhenzhong@zzu.edu.cn</t>
  </si>
  <si>
    <t>Zhang, Kaixiang/M-7659-2016</t>
  </si>
  <si>
    <t>Zhang, Kaixiang/0000-0002-6812-6342</t>
  </si>
  <si>
    <t>2379-3694</t>
  </si>
  <si>
    <t>10.1021/acssensors.9b00060</t>
  </si>
  <si>
    <t>Chemistry, Multidisciplinary; Chemistry, Analytical; Nanoscience &amp; Nanotechnology</t>
  </si>
  <si>
    <t>Chemistry; Science &amp; Technology - Other Topics</t>
  </si>
  <si>
    <t>WOS:000469410100016</t>
  </si>
  <si>
    <t>Eitan, E; Zhang, S; Witwer, KW; Mattson, MP</t>
  </si>
  <si>
    <t>Eitan, Erez; Zhang, Shi; Witwer, Kenneth W.; Mattson, Mark P.</t>
  </si>
  <si>
    <t>Extracellular vesicle-depleted fetal bovine and human sera have reduced capacity to support cell growth</t>
  </si>
  <si>
    <t>fetal bovine serum; exosomes; proliferation; cultured cells; cell death; endoplasmic reticulum stress</t>
  </si>
  <si>
    <t>EXOSOMES; LIPIDOMICS; CULTURE</t>
  </si>
  <si>
    <t>Background: Fetal bovine serum (FBS) is the most widely used serum supplement for mammalian cell culture. It supports cell growth by providing nutrients, growth signals, and protection from stress. Attempts to develop serum-free media that support cell expansion to the same extent as serum-supplemented media have not yet succeeded, suggesting that FBS contains one or more as-yet-undefined growth factors. One potential vehicle for the delivery of growth factors from serum to cultured cells is extracellular vesicles (EVs). Methods: EV-depleted FBS and human serum were generated by 120,000g centrifugation, and its cell growth-supporting activity was measured. Isolated EVs from FBS were quantified and characterized by nanoparticle tracking analysis, electron microscopy, and protein assay. EV internalization into cells was quantified using fluorescent plate reader analysis and microscopy. Results: Most cell types cultured with EV-depleted FBS showed a reduced growth rate but not an increased sensitivity to the DNA-damaging agent etoposide and the endoplasmic reticulum stress-inducing chemical tunicamycin. Supplying cells with isolated FBS-derived EVs enhanced their growth. FBS-derived EVs were internalized by mouse and human cells wherein 65 +/- 26% of them interacted with the lysosomes. EV-depleted human serum also exhibited reduced cell growth-promoting activity. Conclusions: EVs play a role in the cell growth and survival-promoting effects of FBS and human serum. Thus, it is important to take the effect of EV depletion under consideration when planning EV extraction experiments and while attempting to develop serum-free media that support rapid cell expansion. In addition, these findings suggest roles for circulating EVs in supporting cell growth and survival in vivo.</t>
  </si>
  <si>
    <t>[Eitan, Erez; Zhang, Shi; Mattson, Mark P.] NIA, Neurosci Lab, Intramural Res Program, Baltimore, MD 21224 USA; [Witwer, Kenneth W.] Johns Hopkins Univ, Sch Med, Inst NanoBioTechnol, Dept Mol &amp; Comparat Pathol, Baltimore, MD USA; [Mattson, Mark P.] Johns Hopkins Univ, Sch Med, Dept Neurosci, Baltimore, MD 21205 USA</t>
  </si>
  <si>
    <t>National Institutes of Health (NIH) - USA; NIH National Institute on Aging (NIA); Johns Hopkins University; Johns Hopkins University</t>
  </si>
  <si>
    <t>Mattson, MP (corresponding author), NIH, Biomed Res Ctr, Room 5C214,251 Bayview Blvd, Baltimore, MD 21224 USA.</t>
  </si>
  <si>
    <t>mark.mattson@nih.gov</t>
  </si>
  <si>
    <t>Witwer, Kenneth W./G-1626-2013; Zhang, Shi/O-1993-2017</t>
  </si>
  <si>
    <t xml:space="preserve">Witwer, Kenneth W./0000-0003-1664-4233; </t>
  </si>
  <si>
    <t>10.3402/jev.v4.26373</t>
  </si>
  <si>
    <t>WOS:000365074000001</t>
  </si>
  <si>
    <t>Casadei, L; Choudhury, A; Sarchet, P; Sundaram, PM; Lopez, G; Braggio, D; Balakirsky, G; Pollock, R; Prakash, S</t>
  </si>
  <si>
    <t>Casadei, Lucia; Choudhury, Adarsh; Sarchet, Patricia; Mohana Sundaram, Prashanth; Lopez, Gonzalo; Braggio, Danielle; Balakirsky, Gita; Pollock, Raphael; Prakash, Shaurya</t>
  </si>
  <si>
    <t>Cross-flow microfiltration for isolation, selective capture and release of liposarcoma extracellular vesicles</t>
  </si>
  <si>
    <t>cross flow filtration; DNA; eEV; extracellular vesicles; lEV; liposarcoma; MDM2; microfluidics; nanofluidics; tangential flow separation</t>
  </si>
  <si>
    <t>SOFT-TISSUE SARCOMA; SURFACE MODIFICATION; MEMBRANE-VESICLES; EXOSOME ISOLATION; SILICA SURFACES; CURRENT STATE; MICROVESICLES; DIFFERENTIATION; IDENTIFICATION; DEVICE</t>
  </si>
  <si>
    <t>We present a resource-efficient approach to fabricate and operate a micro-nanofluidic device that uses cross-flow filtration to isolate and capture liposarcoma derived extracellular vesicles (EVs). The isolated extracellular vesicles were captured using EV-specific protein markers to obtain vesicle enriched media, which was then eluted for further analysis. Therefore, the micro-nanofluidic device integrates the unit operations of size-based separation with CD63 antibody immunoaffinity-based capture of extracellular vesicles in the same device to evaluate EV-cargo content for liposarcoma. The eluted media collected showed similar to 76% extracellular vesicle recovery from the liposarcoma cell conditioned media and similar to 32% extracellular vesicle recovery from dedifferentiated liposarcoma patient serum when compared against state-of-art extracellular vesicle isolation and subsequent quantification by ultracentrifugation. The results reported here also show a five-fold increase in amount of critical liposarcoma- relevant extracellular vesicle cargo obtained in 30 min presenting a significant advance over existing state-of-art.</t>
  </si>
  <si>
    <t>[Casadei, Lucia; Sarchet, Patricia; Lopez, Gonzalo; Braggio, Danielle; Balakirsky, Gita; Prakash, Shaurya] Ohio State Univ, Ctr Comprehens Canc, Columbus, OH 43210 USA; [Choudhury, Adarsh; Mohana Sundaram, Prashanth; Pollock, Raphael; Prakash, Shaurya] Ohio State Univ, Dept Mech &amp; Aerosp Engn, Columbus, OH 43210 USA</t>
  </si>
  <si>
    <t>James Cancer Hospital &amp; Solove Research Institute; Ohio State University; Ohio State University</t>
  </si>
  <si>
    <t>Pollock, R; Prakash, S (corresponding author), Ohio State Univ, Dept Mech &amp; Aerosp Engn, Columbus, OH 43210 USA.</t>
  </si>
  <si>
    <t>raphael.pollock@osumc.edu; prakash.31@osu.edu</t>
  </si>
  <si>
    <t>Prakash, Shaurya/B-5674-2012</t>
  </si>
  <si>
    <t>CASADEI, Lucia/0000-0002-5731-8197; Choudhury, Adarsh/0000-0002-3288-9356</t>
  </si>
  <si>
    <t>e12062</t>
  </si>
  <si>
    <t>10.1002/jev2.12062</t>
  </si>
  <si>
    <t>WOS:000623673500007</t>
  </si>
  <si>
    <t>Zhou, ZR; Chen, X; Lv, J; Li, DW; Yang, CD; Liu, HL; Qian, RC</t>
  </si>
  <si>
    <t>Zhou, Ze-Rui; Chen, Xia; Lv, Jian; Li, Da-Wei; Yang, Cheng-De; Liu, Hong-Lei; Qian, Ruo-Can</t>
  </si>
  <si>
    <t>A plasmonic nanoparticle-embedded polydopamine substrate for fluorescence detection of extracellular vesicle biomarkers in serum and urine from patients with systemic lupus erythematosus</t>
  </si>
  <si>
    <t>TALANTA</t>
  </si>
  <si>
    <t>Extracellular vesicle; Polydopamine; Liquid biopsy; Plasmonic nanoparticle; Systemic lupus erythematosus</t>
  </si>
  <si>
    <t>INTRACELLULAR TELOMERASE; EXOSOMES; DNA; DELIVERY; RNA; MICROVESICLES; CHEMOKINES; APTAMER; LIGHT; MIRNA</t>
  </si>
  <si>
    <t>There is an unmet clinical need to develop noninvasive liquid biopsy tools for systemic lupus erythematosus (SLE) diagnosis and therapeutic effect evaluation. Extracellular vesicles (EVs), which are abundant in body fluids, have emerged as a valuable resource for liquid biopsy. Herein, we describe a simple and robust EV detection platform that is based on a plasmonic nanoparticle-embedded polydopamine substrate that is modified with EVcapture molecules and detection probes. We investigated three EV biomarkers, namely, programmed cell death protein-1 (PD-1), microRNA-146a (miRNA-146a) and sialic acid (SA), in serum and urine from SLE patients and healthy controls. This platform prevents complex pretreatment while enabling highly efficient EV capture to the substrate surface, and the multiple functionalization of the detection interface with specific biomarker probes enables simultaneous detection of PD-1, miRNA-146a and SA that are carried by EVs via fluorescence (FL) imaging at the single-vesicle level. Via comparison of EV biomarker profiles, SLE patients can be distinguished from normal controls and classified into treated and untreated groups. Due to its ease of preparation, simplicity and stability, our approach shows good potential in the design of EV-based biosensors for clinical use.</t>
  </si>
  <si>
    <t>[Zhou, Ze-Rui; Lv, Jian; Li, Da-Wei; Qian, Ruo-Can] East China Univ Sci &amp; Technol, Key Lab Adv Mat, Joint Int Lab Precis Chem, Shanghai 200237, Peoples R China; [Zhou, Ze-Rui; Lv, Jian; Li, Da-Wei; Qian, Ruo-Can] East China Univ Sci &amp; Technol, Sch Chem &amp; Mol Engn, Shanghai 200237, Peoples R China; [Chen, Xia; Yang, Cheng-De; Liu, Hong-Lei] Shanghai Jiao Tong Univ, Dept Rheumatol &amp; Immunol, Ruijin Hosp, Med Sch Affiliated, Shanghai 200020, Peoples R China</t>
  </si>
  <si>
    <t>East China University of Science &amp; Technology; East China University of Science &amp; Technology; Shanghai Jiao Tong University</t>
  </si>
  <si>
    <t>Qian, RC (corresponding author), East China Univ Sci &amp; Technol, Key Lab Adv Mat, Joint Int Lab Precis Chem, Shanghai 200237, Peoples R China.;Qian, RC (corresponding author), East China Univ Sci &amp; Technol, Sch Chem &amp; Mol Engn, Shanghai 200237, Peoples R China.;Liu, HL (corresponding author), Shanghai Jiao Tong Univ, Dept Rheumatol &amp; Immunol, Ruijin Hosp, Med Sch Affiliated, Shanghai 200020, Peoples R China.</t>
  </si>
  <si>
    <t>hong-lei-liu@163.com; ruocanqian@ecust.edu.cn</t>
  </si>
  <si>
    <t>Qian, Ruocan/0000-0002-1039-9866</t>
  </si>
  <si>
    <t>0039-9140</t>
  </si>
  <si>
    <t>1873-3573</t>
  </si>
  <si>
    <t>10.1016/j.talanta.2022.123620</t>
  </si>
  <si>
    <t>Chemistry, Analytical</t>
  </si>
  <si>
    <t>Chemistry</t>
  </si>
  <si>
    <t>WOS:000808517500004</t>
  </si>
  <si>
    <t>Tamkovich, S; Grigor'eva, M; Eremina, A; Tupikin, A; Kabilov, M; Chernykh, V; Vlassov, V; Ryabchikova, E</t>
  </si>
  <si>
    <t>Tamkovich, Svetlana; Grigor'eva, Mina; Eremina, Alena; Tupikin, Alexey; Kabilov, Marcel; Chernykh, Valerii; Vlassov, Valentin; Ryabchikova, Elena</t>
  </si>
  <si>
    <t>What information can be obtained from the tears of a patient with primary open angle glaucoma?</t>
  </si>
  <si>
    <t>CLINICA CHIMICA ACTA</t>
  </si>
  <si>
    <t>Tears; Small extracellular vesicles; miRNA; Bacterial DNA</t>
  </si>
  <si>
    <t>EXOSOME ISOLATION; HUMOR; EXPRESSION; CHEMOKINES; MICRORNAS; CYTOKINES; MYOCILIN; GENES; CELLS; CD24</t>
  </si>
  <si>
    <t>Since tears are a biological fluid, they have a potential diagnostic value for ophthalmic diseases. The aim of this study was to compare tear supernatants and pellets obtained from patients suffering from primary open angle glaucoma (POAG) and healthy persons (HPs) using transmission electron microscopy (TEM) and molecular biological methods. Tear supernatants and pellets were prepared using ultrafiltration and ultracentrifugation and were examined by negative staining and immunogold labelling TEM. DNA of the pellets was isolated, quantified and sequenced using a MiSeq (Illumina, USA) genomic sequencer with the Reagent Kit v3 (600 cycles, Illumina, USA). MicroRNA was isolated and quantified from the pellets; miR-146b, miR-16 and miR-126 were detected using TaqMan MicroRNA Assays (Applied Biosystems, USA). TEM of tear supernatants from both POAG patients and HPs revealed identical constituents: spherical or cup shaped vesicles, non-vesicles, cell debris and macromolecular aggregates. Pellets of POAG patients and HPs contained small extracellular vesicles (sEVs) non-labelled vesicles and non-vesicles; pellets of sick persons also contained sEVs with a capsule. POAG-patient tear pellets showed elevated concentrations of genomic ds-DNA and SINE-repeats, and different expressions of miR-146b, miR-16 and miR-126 and a different set of bacterial DNA in comparison with pellets obtained from the tears of HPs. The data obtained indicate that the tears of HPs and POAG patients could serve as an object for TEM studies and as a source of sEV-containing preparations (pellets), which, in turn, could be used for the isolation and study of genomic ds-DNA and RNA. Our data provide the basis for using tears for diagnostic applications.</t>
  </si>
  <si>
    <t>[Tamkovich, Svetlana; Grigor'eva, Mina; Tupikin, Alexey; Kabilov, Marcel; Vlassov, Valentin; Ryabchikova, Elena] Russian Acad Sci, Siberian Branch, Inst Chem Biol &amp; Fundamental Med, Pr Lavrenteva 8, Novosibirsk 630090, Russia; [Eremina, Alena; Chernykh, Valerii] Novosibirsk Branch, Fyodorov Eye Microsurg Complex, Novosibirsk, Russia; [Tamkovich, Svetlana; Ryabchikova, Elena] Novosibirsk Natl Res State Univ, Novosibirsk, Russia</t>
  </si>
  <si>
    <t>Tamkovich, S (corresponding author), Russian Acad Sci, Siberian Branch, Inst Chem Biol &amp; Fundamental Med, Pr Lavrenteva 8, Novosibirsk 630090, Russia.</t>
  </si>
  <si>
    <t>s.tamk@niboch.nsc.ru</t>
  </si>
  <si>
    <t>Tupikin, Alexey/AAE-9025-2021; Ryabchikova, Elena/G-3089-2013; Eremina, Alena/AAI-2929-2020; Kabilov, Marsel R./B-6669-2013; Trunov, Aleksandr/R-7867-2019; Chernykh, Valery/AAH-6121-2020; Tamkovich, Svetlana/G-9790-2013; Vlassov, Valentin/F-4720-2013</t>
  </si>
  <si>
    <t>Tupikin, Alexey/0000-0002-8194-0322; Ryabchikova, Elena/0000-0003-4714-1524; Kabilov, Marsel R./0000-0003-2777-0833; Trunov, Aleksandr/0000-0002-7592-8984; Grigor'eva, Alina/0000-0001-9853-223X; Tamkovich, Svetlana/0000-0001-7774-943X; Vlassov, Valentin/0000-0003-2845-2992</t>
  </si>
  <si>
    <t>0009-8981</t>
  </si>
  <si>
    <t>1873-3492</t>
  </si>
  <si>
    <t>10.1016/j.cca.2019.05.028</t>
  </si>
  <si>
    <t>Medical Laboratory Technology</t>
  </si>
  <si>
    <t>WOS:000476964200079</t>
  </si>
  <si>
    <t>Degli Esposti, C; Iadarola, B; Maestri, S; Beltrami, C; Lavezzari, D; Morini, M; De Marco, P; Erminio, G; Garaventa, A; Zara, F; Delledonne, M; Ognibene, M; Pezzolo, A</t>
  </si>
  <si>
    <t>Degli Esposti, Chiara; Iadarola, Barbara; Maestri, Simone; Beltrami, Cristina; Lavezzari, Denise; Morini, Martina; De Marco, Patrizia; Erminio, Giovanni; Garaventa, Alberto; Zara, Federico; Delledonne, Massimo; Ognibene, Marzia; Pezzolo, Annalisa</t>
  </si>
  <si>
    <t>Exosomes from Plasma of Neuroblastoma Patients Contain Doublestranded DNA Reflecting the Mutational Status of Parental Tumor Cells</t>
  </si>
  <si>
    <t>neuroblastoma; exosomes; exo-DNA; ALK; genotypability; tumor mutation load</t>
  </si>
  <si>
    <t>Neuroblastoma (NB) is an aggressive infancy tumor, leading cause of death among preschool age diseases. Here we focused on characterization of exosomal DNA (exo-DNA) isolated from plasma cell-derived exosomes of neuroblastoma patients, and its potential use for detection of somatic mutations present in the parental tumor cells. Exosomes are small extracellular membrane vesicles secreted by most cells, playing an important role in intercellular communications. Using an enzymatic method, we provided evidence for the presence of double-stranded DNA in the NB exosomes. Moreover, by whole exome sequencing, we demonstrated that NB exo-DNA represents the entire exome and that it carries tumor-specific genetic mutations, including those occurring on known oncogenes and tumor suppressor genes in neuroblastoma (ALK, CHD5, SHANK2, PHOX2B, TERT, FGFR1, and BRAF). NB exo-DNA can be useful to identify variants responsible for acquired resistance, such as mutations of ALK, TP53, and RAS/MAPK genes that appear in relapsed patients. The possibility to isolate and to enrich NB derived exosomes from plasma using surface markers, and the quick and easy extraction of exo-DNA, gives this methodology a translational potential in the clinic. Exo-DNA can be an attractive non-invasive biomarker for NB molecular diagnostic, especially when tissue biopsy cannot be easily available.</t>
  </si>
  <si>
    <t>[Degli Esposti, Chiara; Iadarola, Barbara; Maestri, Simone; Beltrami, Cristina; Lavezzari, Denise; Delledonne, Massimo] Univ Verona, Dipartimento Biotecnol, I-37134 Verona, Italy; [Morini, Martina] IRCCS Giannina Gaslini, Lab Biol Mol, I-16147 Genoa, Italy; [De Marco, Patrizia; Zara, Federico; Ognibene, Marzia] IRCCS Giannina Gaslini, UOC Genet Med, I-16147 Genoa, Italy; [Erminio, Giovanni] IRCCS Giannina Gaslini, Epidemiol &amp; Biostat, I-16147 Genoa, Italy; [Garaventa, Alberto] IRCCS Giannina Gaslini, Div Oncol, I-16147 Genoa, Italy; [Pezzolo, Annalisa] IRCCS Giannina Gaslini, I-16147 Genoa, Italy</t>
  </si>
  <si>
    <t>University of Verona; University of Genoa; IRCCS Istituto Giannina Gaslini; University of Genoa; IRCCS Istituto Giannina Gaslini; University of Genoa; IRCCS Istituto Giannina Gaslini; University of Genoa; IRCCS Istituto Giannina Gaslini; University of Genoa; IRCCS Istituto Giannina Gaslini</t>
  </si>
  <si>
    <t>Ognibene, M (corresponding author), IRCCS Giannina Gaslini, UOC Genet Med, I-16147 Genoa, Italy.</t>
  </si>
  <si>
    <t>chiara.degliesposti@univr.it; barbara.iadarola@univr.it; simone.maestri@univr.it; cristina.beltrami_01@univr.it; denise.lavezzari@univr.it; martinamorini@gaslini.org; patriziademarco@gaslini.org; giovannierminio@gaslini.org; albertogaraventa@gaslini.org; federicozara@gaslini.org; massimo.delledonne@univr.it; marziaognibene@gaslini.org; annalisapezzolo@gaslini.org</t>
  </si>
  <si>
    <t>Erminio, Giovanni/AAA-7376-2020; Ognibene, Marzia/AAA-7275-2020; Degli Esposti, Chiara/AAC-1077-2022; Delledonne, Massimo/O-8685-2017; Morini, Martina/K-3725-2018; Maestri, Simone/AFU-6196-2022; Zara, Federico/U-3477-2017</t>
  </si>
  <si>
    <t>Erminio, Giovanni/0000-0001-9675-3848; Ognibene, Marzia/0000-0003-3698-9319; Morini, Martina/0000-0003-2569-4515; Maestri, Simone/0000-0002-1192-0684; Zara, Federico/0000-0001-9744-5222; Iadarola, Barbara/0000-0002-8173-3200; Pezzolo, Annalisa/0000-0001-6321-5701; Delledonne, Massimo/0000-0002-7100-4581; Degli Esposti, Chiara/0000-0002-5974-4915; Lavezzari, Denise/0000-0003-2859-5424</t>
  </si>
  <si>
    <t>10.3390/ijms22073667</t>
  </si>
  <si>
    <t>WOS:000638661700001</t>
  </si>
  <si>
    <t>Gonda, A; Zhao, NX; Shah, JV; Siebert, JN; Gunda, S; Inan, B; Kwon, M; Libutti, SK; Moghe, PV; Francis, NL; Ganapathy, V</t>
  </si>
  <si>
    <t>Gonda, Amber; Zhao, Nanxia; Shah, Jay, V; Siebert, Jake N.; Gunda, Srujanesh; Inan, Berk; Kwon, Mijung; Libutti, Steven K.; Moghe, Prabhas V.; Francis, Nicola L.; Ganapathy, Vidya</t>
  </si>
  <si>
    <t>Extracellular Vesicle Molecular Signatures Characterize Metastatic Dynamicity in Ovarian Cancer</t>
  </si>
  <si>
    <t>extracellular vesicle; exosome; gene signatures; metastasis; ovarian cancer 2</t>
  </si>
  <si>
    <t>LIQUID BIOPSY; OVEREXPRESSION; OPPORTUNITIES; BIOMARKERS; INVASION</t>
  </si>
  <si>
    <t>BackgroundLate-stage diagnosis of ovarian cancer, a disease that originates in the ovaries and spreads to the peritoneal cavity, lowers 5-year survival rate from 90% to 30%. Early screening tools that can: i) detect with high specificity and sensitivity before conventional tools such as transvaginal ultrasound and CA-125, ii) use non-invasive sampling methods and iii) longitudinally significantly increase survival rates in ovarian cancer are needed. Studies that employ blood-based screening tools using circulating tumor-cells, -DNA, and most recently tumor-derived small extracellular vesicles (sEVs) have shown promise in non-invasive detection of cancer before standard of care. Our findings in this study show the promise of a sEV-derived signature as a non-invasive longitudinal screening tool in ovarian cancer. MethodsHuman serum samples as well as plasma and ascites from a mouse model of ovarian cancer were collected at various disease stages. Small extracellular vesicles (sEVs) were extracted using a commercially available kit. RNA was isolated from lysed sEVs, and quantitative RT-PCR was performed to identify specific metastatic gene expression. ConclusionThis paper highlights the potential of sEVs in monitoring ovarian cancer progression and metastatic development. We identified a 7-gene panel in sEVs derived from plasma, serum, and ascites that overlapped with an established metastatic ovarian carcinoma signature. We found the 7-gene panel to be differentially expressed with tumor development and metastatic spread in a mouse model of ovarian cancer. The most notable finding was a significant change in the ascites-derived sEV gene signature that overlapped with that of the plasma-derived sEV signature at varying stages of disease progression. While there were quantifiable changes in genes from the 7-gene panel in serum-derived sEVs from ovarian cancer patients, we were unable to establish a definitive signature due to low sample number. Taken together our findings show that differential expression of metastatic genes derived from circulating sEVs present a minimally invasive screening tool for ovarian cancer detection and longitudinal monitoring of molecular changes associated with progression and metastatic spread.</t>
  </si>
  <si>
    <t>[Gonda, Amber; Shah, Jay, V; Siebert, Jake N.; Moghe, Prabhas V.; Francis, Nicola L.; Ganapathy, Vidya] Rutgers State Univ, Dept Biomed Engn, Piscataway, NJ 08854 USA; [Zhao, Nanxia; Moghe, Prabhas V.] Rutgers State Univ, Dept Chem &amp; Biochem Engn, Piscataway, NJ USA; [Siebert, Jake N.] Rutgers State Univ, Rutgers Robert Wood Johnson Med Sch, New Brunswick, NJ USA; [Gunda, Srujanesh; Inan, Berk] Rutgers State Univ, Sch Environm &amp; Biol Sci, New Brunswick, NJ USA; [Kwon, Mijung; Libutti, Steven K.] Rutgers State Univ, Rutgers Canc Inst New Jersey, New Brunswick, NJ USA</t>
  </si>
  <si>
    <t>Rutgers State University New Brunswick; Rutgers State University New Brunswick; Rutgers State University New Brunswick; Rutgers State University Medical Center; Rutgers State University New Brunswick; Rutgers State University New Brunswick; Rutgers State University Medical Center; Rutgers Cancer Institute of New Jersey</t>
  </si>
  <si>
    <t>Francis, NL; Ganapathy, V (corresponding author), Rutgers State Univ, Dept Biomed Engn, Piscataway, NJ 08854 USA.</t>
  </si>
  <si>
    <t>nicola.francis@rutgers.edu; vg180@soe.rutgers.edu</t>
  </si>
  <si>
    <t>Francis, Nicola/0000-0002-5542-253X</t>
  </si>
  <si>
    <t>NOV 18</t>
  </si>
  <si>
    <t>10.3389/fonc.2021.718408</t>
  </si>
  <si>
    <t>WOS:000741811000001</t>
  </si>
  <si>
    <t>Erkan, EP; Saydam, O</t>
  </si>
  <si>
    <t>Erkan, Erdogan Pekcan; Saydam, Okay</t>
  </si>
  <si>
    <t>Extracellular Vesicles as Novel Delivery Tools for Cancer Treatment</t>
  </si>
  <si>
    <t>CURRENT CANCER DRUG TARGETS</t>
  </si>
  <si>
    <t>Cancer; delivery; extracellular vesicles; therapeutics</t>
  </si>
  <si>
    <t>CELL-DERIVED EXOSOMES; MEDIATED TRANSFER; MULTIVESICULAR BODY; DENDRITIC CELLS; MESSENGER-RNAS; MICROVESICLES; PROTEINS; BIOGENESIS; MICRORNA; SECRETION</t>
  </si>
  <si>
    <t>Extracellular vesicles (EVs) are different types of membrane-derived vesicles that originate from the endosomal pathway or the plasma membrane. These vesicles are used as carriers in intercellular communication, and are responsible for the transfer of biological cargo (lipids, proteins, RNA species, and DNA) between different cells. Despite the shortcomings in our knowledge of EV biology, attempts to employ EVs as natural delivery tools for therapeutic purposes have been partly successful in different settings. In this review, we highlight this unique potential of EVs, and discuss previous examples and future scenarios.</t>
  </si>
  <si>
    <t>[Erkan, Erdogan Pekcan] Dokuz Eylul Univ, Izmir Biomed &amp; Genome Ctr, Izmir, Turkey; [Erkan, Erdogan Pekcan] Dokuz Eylul Univ, Dept Neurosci, Inst Hlth Sci, Izmir, Turkey; [Saydam, Okay] Med Univ Vienna, Dept Pediat &amp; Adolescent Med, Vienna, Austria</t>
  </si>
  <si>
    <t>Dokuz Eylul University; Dokuz Eylul University; Medical University of Vienna</t>
  </si>
  <si>
    <t>Saydam, O (corresponding author), Med Univ Vienna, Dept Pediat &amp; Adolescent Med, Vienna, Austria.</t>
  </si>
  <si>
    <t>okay.saydam@meduniwien.ac</t>
  </si>
  <si>
    <t>Erkan, Erdogan Pekcan/ABI-6822-2020</t>
  </si>
  <si>
    <t>Erkan, Erdogan Pekcan/0000-0001-9287-4773</t>
  </si>
  <si>
    <t>1568-0096</t>
  </si>
  <si>
    <t>1873-5576</t>
  </si>
  <si>
    <t>10.2174/1568009615666150923115439</t>
  </si>
  <si>
    <t>WOS:000366900100003</t>
  </si>
  <si>
    <t>Galbiati, S; Damin, F; Brambilla, D; Ferraro, L; Soriani, N; Ferretti, AM; Burgio, V; Ronzoni, M; Vago, R; Sola, L; Chiari, M</t>
  </si>
  <si>
    <t>Galbiati, Silvia; Damin, Francesco; Brambilla, Dario; Ferraro, Lucia; Soriani, Nadia; Ferretti, Anna M.; Burgio, Valentina; Ronzoni, Monica; Vago, Riccardo; Sola, Laura; Chiari, Marcella</t>
  </si>
  <si>
    <t>Small EVs-Associated DNA as Complementary Biomarker to Circulating Tumor DNA in Plasma of Metastatic Colorectal Cancer Patients</t>
  </si>
  <si>
    <t>PHARMACEUTICALS</t>
  </si>
  <si>
    <t>exosomes; extracellular vesicles; liquid biopsy; cancer biomarkers; ddPCR; microarray</t>
  </si>
  <si>
    <t>It is widely accepted that assessing circular tumor DNA (ctDNA) in the plasma of cancer patients is a promising practice to evaluate somatic mutations from solid tumors noninvasively. Recently, it was reported that isolation of extracellular vesicles improves the detection of mutant DNA from plasma in metastatic patients; however, no consensus on the presence of dsDNA in exosomes has been reached yet. We analyzed small extracellular vesicle (sEV)-associated DNA of eleven metastatic colorectal cancer (mCRC) patients and compared the results obtained by microarray and droplet digital PCR (ddPCR) to those reported on the ctDNA fraction. We detected the same mutations found in tissue biopsies and ctDNA in all samples but, unexpectedly, in one sample, we found a KRAS mutation that was not identified either in ctDNA or tissue biopsy. Furthermore, to assess the exact location of sEV-associated DNA (outside or inside the vesicle), we treated with DNase I sEVs isolated with three different methodologies. We found that the DNA inside the vesicles is only a small fraction of that surrounding the vesicles. Its amount seems to correlate with the total amount of circulating tumor DNA. The results obtained in our experimental setting suggest that integrating ctDNA and sEV-associated DNA in mCRC patient management could provide a complete real-time assessment of the cancer mutation status.</t>
  </si>
  <si>
    <t>[Galbiati, Silvia] IRCCS San Raffaele Sci Inst, Diabet Res Inst, Complicat Diabet Units, I-20132 Milan, Italy; [Damin, Francesco; Brambilla, Dario; Ferraro, Lucia; Ferretti, Anna M.; Sola, Laura; Chiari, Marcella] Ist Sci &amp; Tecnol Chim Giulio Natta SCITEC CNR, I-20131 Milan, Italy; [Soriani, Nadia] IRCCS San Raffaele Sci Inst, Div Genet &amp; Cell Biol, Unit Genom Diag Human Pathol, I-20132 Milan, Italy; [Burgio, Valentina; Ronzoni, Monica] IRCCS Osped San Raffaele, Dipartimento Oncol Med, I-20132 Milan, Italy; [Vago, Riccardo] IRCCS Osped San Raffaele, Div Expt Oncol, Urol Res Inst, I-20132 Milan, Italy; [Vago, Riccardo] Univ Vita Salute San Raffaele, I-20132 Milan, Italy</t>
  </si>
  <si>
    <t>IRCCS Ospedale San Raffaele; Consiglio Nazionale delle Ricerche (CNR); Istituto di Scienze Tecnologie Chimiche Giulio Natta (SCITEC-CNR); IRCCS Ospedale San Raffaele; IRCCS Ospedale San Raffaele; Vita-Salute San Raffaele University; IRCCS Ospedale San Raffaele; Vita-Salute San Raffaele University; Vita-Salute San Raffaele University</t>
  </si>
  <si>
    <t>Galbiati, S (corresponding author), IRCCS San Raffaele Sci Inst, Diabet Res Inst, Complicat Diabet Units, I-20132 Milan, Italy.;Damin, F (corresponding author), Ist Sci &amp; Tecnol Chim Giulio Natta SCITEC CNR, I-20131 Milan, Italy.</t>
  </si>
  <si>
    <t>galbiati.silvia@hsr.it; francesco.damin@scitec.cnr.it; dario.brambilla@scitec.cnr.it; lucia.ferraro@scitec.cnr.it; soriani.nadia@hsr.it; annalerretti@scitec.cnr.it; burgio.valentina@hsr.it; ronzoni.monica@hsr.it; vago.riccardo@hsr.it; laura.sola@scitec.cnr.it; marcella.chiari@scitec.cnr.it</t>
  </si>
  <si>
    <t>Sola, Laura/ABD-8155-2021; Damin, Francesco/AAL-8998-2021; Vago, Riccardo/K-3256-2018</t>
  </si>
  <si>
    <t>Damin, Francesco/0000-0003-1780-7823; Galbiati, Silvia/0000-0003-1642-8506; Brambilla, Dario/0000-0003-3490-4481; Vago, Riccardo/0000-0002-3781-6770; Sola, Laura/0000-0002-2603-0318</t>
  </si>
  <si>
    <t>1424-8247</t>
  </si>
  <si>
    <t>10.3390/ph14020128</t>
  </si>
  <si>
    <t>Chemistry, Medicinal; Pharmacology &amp; Pharmacy</t>
  </si>
  <si>
    <t>Pharmacology &amp; Pharmacy</t>
  </si>
  <si>
    <t>WOS:000622957400001</t>
  </si>
  <si>
    <t>Duijvesz, D; Luider, T; Bangma, CH; Jenster, G</t>
  </si>
  <si>
    <t>Duijvesz, Diederick; Luider, Theo; Bangma, Chris H.; Jenster, Guido</t>
  </si>
  <si>
    <t>Exosomes as Biomarker Treasure Chests for Prostate Cancer</t>
  </si>
  <si>
    <t>EUROPEAN UROLOGY</t>
  </si>
  <si>
    <t>Prostate cancer; Urology; Exosomes; Biomarker; Microvesicles</t>
  </si>
  <si>
    <t>TUMOR-DERIVED EXOSOMES; HUMAN SEMINAL PLASMA; TRANSFERRIN RECEPTOR; DIAGNOSTIC BIOMARKERS; MULTIVESICULAR BODIES; SHEEP RETICULOCYTES; PROTEOMICS ANALYSIS; HUMAN SEMEN; IN-VITRO; PROSTASOMES</t>
  </si>
  <si>
    <t>Context: Although progress has been made with regard to types of markers (protein, DNA, RNA, and metabolites) and implementation of improved technologies (mass spectrometry, arrays, and deep sequencing), the discovery of novel biomarkers for prostate cancer (PCa) in complex fluids, such as serum and urine, remains a challenge. Meanwhile, recent studies have reported that many cancer-derived proteins and RNAs are secreted through small vesicles known as exosomes. Objective: This narrative review describes recent progress in exosome research, focusing on the potential role of exosomes as novel biomarkers for PCa. The purpose of this review is to acquaint clinicians and researchers in the field of urology with the potential role of exosomes as biomarker treasure chests and with their clinical value. Evidence acquisition: Medline and Embase entries between 1966 and September 2010 were searched using the keywords exosomes, microvesicles, prostasomes, biomarkers, prostate cancer, and urology. Leading publications and articles constructively contributing to exosome research were selected for this review. Evidence synthesis: Exosomes are small vesicles (50-100 nm) secreted by almost all tissues; they represent their tissue origin. Purification of prostate- and PCa-derived exosomes will allow us to profile exosomes, providing a promising source of protein and RNA biomarkers for PCa. This profiling will contribute to the discovery of novel markers for the early diagnosis and reliable prognosis of PCa. Conclusions: Although the initial results are promising, further investigations are required to assess the clinical value of these exosomes in PCa. (C) 2010 European Association of Urology. Published by Elsevier B.V. All rights reserved.</t>
  </si>
  <si>
    <t>[Jenster, Guido] Erasmus MC, Josephine Nefkens Inst, Dept Urol, NL-3000 CA Rotterdam, Netherlands; [Luider, Theo] Erasmus MC, Dept Neurol, NL-3000 CA Rotterdam, Netherlands</t>
  </si>
  <si>
    <t>Erasmus University Rotterdam; Erasmus MC; Erasmus University Rotterdam; Erasmus MC</t>
  </si>
  <si>
    <t>Jenster, G (corresponding author), Erasmus MC, Josephine Nefkens Inst, Dept Urol, Room Be362A,POB 2040, NL-3000 CA Rotterdam, Netherlands.</t>
  </si>
  <si>
    <t>g.jenster@erasmusmc.nl</t>
  </si>
  <si>
    <t>Duijvesz, Diederick/W-6029-2019</t>
  </si>
  <si>
    <t>Duijvesz, Diederick/0000-0001-6678-3384</t>
  </si>
  <si>
    <t>0302-2838</t>
  </si>
  <si>
    <t>1873-7560</t>
  </si>
  <si>
    <t>10.1016/j.eururo.2010.12.031</t>
  </si>
  <si>
    <t>Urology &amp; Nephrology</t>
  </si>
  <si>
    <t>WOS:000288991500029</t>
  </si>
  <si>
    <t>Miranda, KC; Bond, DT; McKee, M; Skog, J; Paunescu, TG; Da Silva, N; Brown, D; Russo, LM</t>
  </si>
  <si>
    <t>Miranda, Kevin C.; Bond, Daniel T.; McKee, Mary; Skog, Johan; Paunescu, Teodor G.; Da Silva, Nicolas; Brown, Dennis; Russo, Leileata M.</t>
  </si>
  <si>
    <t>Nucleic acids within urinary exosomes/microvesicles are potential biomarkers for renal disease</t>
  </si>
  <si>
    <t>KIDNEY INTERNATIONAL</t>
  </si>
  <si>
    <t>acute kidney injury; chronic kidney disease; exosome; transcriptional profiling</t>
  </si>
  <si>
    <t>EXOSOMES; MARKER; ATPASE; CELLS; RNAS</t>
  </si>
  <si>
    <t>Urinary exosomes or microvesicles are being studied intensively to identify potential new biomarkers for renal disease. We sought to identify whether these microvesicles contain nucleic acids. We isolated microvesicles from human urine in the same density range as that previously described for urinary exosomes and found them to have an RNA integrity profile similar to that of kidney tissue, including 18S and 28S rRNA. This profile was better preserved in urinary microvesicles compared with whole cells isolated from urine, suggesting that microvesicles may protect RNA during urine passage. We were able to detect mRNA in the human urinary microvesicles encoding proteins from all regions of the nephron and the collecting duct. Further, to provide a proof of principle, we found that microvesicles isolated from the urine of the V-ATPase B1 subunit knockout mice lacked mRNA of this subunit while containing a normal amount of the B2 subunit and aquaporin 2. The microvesicles were found to be contaminated with extraneous DNA potentially on their surface; therefore, we developed a rapid and reliable means to isolate nucleic acids from within urine microvesicles devoid of this extraneous contamination. Our study provides an experimental strategy for the routine isolation and use of urinary microvesicles as a novel and non-invasive source of nucleic acids to further renal disease biomarker discovery. Kidney International (2010) 78, 191-199; doi:10.1038/ki.2010.106; published online 28 April 2010</t>
  </si>
  <si>
    <t>[Miranda, Kevin C.; Bond, Daniel T.; McKee, Mary; Paunescu, Teodor G.; Da Silva, Nicolas; Brown, Dennis; Russo, Leileata M.] Harvard Univ, Massachusetts Gen Hosp, Sch Med, Program Membrane Biol, Boston, MA 02114 USA; [Skog, Johan] Harvard Univ, Massachusetts Gen Hosp, Sch Med, Div Nephrol,Ctr Syst Biol, Boston, MA 02114 USA; [Skog, Johan] Harvard Univ, Sch Med, Charlestown, MA USA; [Skog, Johan] Massachusetts Gen Hosp, Dept Neurol, Charlestown, MA USA; [Skog, Johan] Massachusetts Gen Hosp, Dept Radiol, Charlestown, MA USA; [Skog, Johan] Massachusetts Gen Hosp, Neurosci Program, Charlestown, MA USA</t>
  </si>
  <si>
    <t>Harvard University; Massachusetts General Hospital; Harvard University; Massachusetts General Hospital; Harvard University; Harvard University; Massachusetts General Hospital; Harvard University; Massachusetts General Hospital; Harvard University; Massachusetts General Hospital</t>
  </si>
  <si>
    <t>Russo, LM (corresponding author), Harvard Univ, Massachusetts Gen Hosp, Sch Med, Program Membrane Biol, 185 Cambridge St,Room 8206, Boston, MA 02114 USA.</t>
  </si>
  <si>
    <t>Lrusso@mgh.harvard.edu</t>
  </si>
  <si>
    <t>Paunescu, Teodor/AAX-7533-2020; Da Silva, Nicolas/T-3528-2019</t>
  </si>
  <si>
    <t>Paunescu, Teodor/0000-0003-0227-9028; Skog, Johan/0000-0002-0926-1691</t>
  </si>
  <si>
    <t>0085-2538</t>
  </si>
  <si>
    <t>1523-1755</t>
  </si>
  <si>
    <t>10.1038/ki.2010.106</t>
  </si>
  <si>
    <t>WOS:000279375200011</t>
  </si>
  <si>
    <t>Brinkman, K; Meyer, L; Bickel, A; Enderle, D; Berking, C; Skog, J; Noerholm, M</t>
  </si>
  <si>
    <t>Brinkman, Kay; Meyer, Lisa; Bickel, Anne; Enderle, Daniel; Berking, Carola; Skog, Johan; Noerholm, Mikkel</t>
  </si>
  <si>
    <t>Extracellular vesicles from plasma have higher tumour RNA fraction than platelets</t>
  </si>
  <si>
    <t>Extracellular vesicles; liquid biopsy; RNA biomarker; platelets; BRAF V600E; plasma; tumour RNA</t>
  </si>
  <si>
    <t>EDUCATED PLATELETS; BLOOD-PLATELETS; LIQUID BIOPSY; CANCER</t>
  </si>
  <si>
    <t>In addition to Circulating Tumour Cells (CTCs), cell-free DNA (cfDNA) and Extracellular Vesicles (EVs), the notion of Tumour-Educated Platelets (TEP) has recently emerged as a potential source of tumour-derived biomarkers accessible through blood liquid biopsies. Here we sought to confirm the suitability of the platelet blood fraction for biomarker detection in comparison to their corresponding EV fraction. As publications have claimed that tumour RNA and other tumour-derived material are transferred from tumour cells to the platelets and that tumour-derived transcripts can be detected in platelets, we chose to focus on RNA carrying a mutation as being of bona fide tumour origin. After informed consent, we collected prospective blood samples from a cohort of 12 melanoma patients with tissue-confirmed BRAF V600E mutation. Each blood specimen was processed immediately post collection applying two published standard protocols in parallel selecting for EVs and platelets, respectively. The RNA of each fraction was analysed by a highly sensitive ARMS RT-qPCR enabling the quantification of the mutant allele fraction (%MAF) of BRAF V600E down to 0.01%. In a direct comparative analysis, the EV fraction contained detectable BRAF V600E in 10 out of 12 patients, whereas none of the patient platelet fractions resulted in a mutant allele signal. The platelet fraction of all 12 patients contained high amounts of wild-type BRAF signal, but no mutation signal above background was detectable in any of the samples. Our observations suggest that the phenomenon of tumour RNA transfer to platelets occurs below detection limit since even a very sensitive qPCR assay did not allow for a reliable detection of BRAF V600E in the platelet fraction. In contrast, EV fractions derived from the same patients allowed for detection of BRAF V600E in 10 of 12 blood specimens.</t>
  </si>
  <si>
    <t>[Brinkman, Kay; Meyer, Lisa; Bickel, Anne; Enderle, Daniel; Noerholm, Mikkel] Exosome Diagnost GmbH, Martinsried, Germany; [Berking, Carola] Univ Hosp Munich LMU, Dept Dermatol &amp; Allergy, Munich, Germany; [Skog, Johan] Exosome Diagnost Inc, 266 Second Ave,Suite 200, Waltham, MA 02451 USA</t>
  </si>
  <si>
    <t>University of Munich</t>
  </si>
  <si>
    <t>Skog, J (corresponding author), Exosome Diagnost Inc, 266 Second Ave,Suite 200, Waltham, MA 02451 USA.</t>
  </si>
  <si>
    <t>Johan.Skog@bio-techne.com</t>
  </si>
  <si>
    <t>Skog, Johan/0000-0002-0926-1691</t>
  </si>
  <si>
    <t>10.1080/20013078.2020.1741176</t>
  </si>
  <si>
    <t>WOS:000521276200001</t>
  </si>
  <si>
    <t>Barreiro, K; Huber, TB; Holthofer, H</t>
  </si>
  <si>
    <t>Gnudi, L; Long, DA</t>
  </si>
  <si>
    <t>Barreiro, Karina; Huber, Tobias B.; Holthofer, Harry</t>
  </si>
  <si>
    <t>Isolating Urinary Extracellular Vesicles as Biomarkers for Diabetic Disease</t>
  </si>
  <si>
    <t>DIABETIC NEPHROPATHY: METHODS AND PROTOCOLS</t>
  </si>
  <si>
    <t>Urinary extracellular vesicle isolation; Hydrostatic filtration dialysis; Electron microscopy; Transcriptomic; Proteomics</t>
  </si>
  <si>
    <t>CELL COMMUNICATION; EXOSOMES</t>
  </si>
  <si>
    <t>Extracellular vesicles are lipid bilayer enclosed structures secreted by all cell types. Their cargo includes proteins, lipids, RNAs, and DNA, which reflect the physiological state of their cells of origin. Recently, urinary extracellular vesicles have emerged as a valuable source of biomarkers for kidney and systemic disease. Unfortunately, all existing methods for extracellular vesicle isolation from urine are time consuming and/or expensive. Thus, they are not adaptable to large-scale studies and unsuitable for clinical use without special equipment in the laboratory. Recently, our group has devised a set of new, quick, simple, and inexpensive techniques, based on hydrostatic filtration dialysis (HFD) of urine extremely suitable for diagnostic purposes. This novel approach represents a great potential for new diagnostics and understanding disease biology in general and brings the biomarker detection to the scope of all laboratories.</t>
  </si>
  <si>
    <t>[Barreiro, Karina; Holthofer, Harry] Univ Helsinki, Finnish Inst Mol Med, Helsinki, Finland; [Huber, Tobias B.; Holthofer, Harry] Univ Med Ctr Hamburg Eppendorf, Dept Med, Hamburg, Germany</t>
  </si>
  <si>
    <t>University of Helsinki; University of Hamburg; University Medical Center Hamburg-Eppendorf</t>
  </si>
  <si>
    <t>Barreiro, K (corresponding author), Univ Helsinki, Finnish Inst Mol Med, Helsinki, Finland.</t>
  </si>
  <si>
    <t>Huber, Tobias B./0000-0001-7175-5062</t>
  </si>
  <si>
    <t>978-1-4939-9841-8; 978-1-4939-9840-1</t>
  </si>
  <si>
    <t>10.1007/978-1-4939-9841-8_13</t>
  </si>
  <si>
    <t>10.1007/978-1-4939-9841-8</t>
  </si>
  <si>
    <t>Biochemical Research Methods; Endocrinology &amp; Metabolism; Urology &amp; Nephrology</t>
  </si>
  <si>
    <t>Biochemistry &amp; Molecular Biology; Endocrinology &amp; Metabolism; Urology &amp; Nephrology</t>
  </si>
  <si>
    <t>WOS:000563322500014</t>
  </si>
  <si>
    <t>Yap, SA; Munster-Wandowski, A; Nonnenmacher, A; Keilholz, U; Liebs, S</t>
  </si>
  <si>
    <t>Yap, Soo Ann; Muenster-Wandowski, Agnieszka; Nonnenmacher, Anika; Keilholz, Ulrich; Liebs, Sandra</t>
  </si>
  <si>
    <t>Analysis of cancer-related mutations in extracellular vesicles RNA by Droplet Digital (TM) PCR</t>
  </si>
  <si>
    <t>BIOTECHNIQUES</t>
  </si>
  <si>
    <t>colorectal cancer; ddPCR; exosomes; extracellular vesicles; liquid biopsy; melanoma</t>
  </si>
  <si>
    <t>LIQUID BIOPSY; MEMBRANE-VESICLES; NUCLEIC-ACIDS; EXOSOMES; DNA; KRAS; BRAF; MICROVESICLES; PROGRESSION; INHIBITION</t>
  </si>
  <si>
    <t>Extracellular vesicles (EVs) are taking their place as potential biomarkers in the field of liquid biopsy. In this study, EVs were isolated from plasma samples of 31 patients with colorectal cancer and melanoma via differential centrifugation and Droplet Digital (TM) PCR (Bio-Rad, CA, USA) was used to profile BRAF V600E/K, KRAS G12A/C/D/V and KRAS G13D mutations from EV-derived cDNA. The concordance rates with corresponding tissue were 54% and 44% in the colorectal cancer and melanoma cohort, respectively. Two patients displayed mutations in EVs not previously detected in tissue as evidence for emerging molecular resistance to anti-EGFR and BRAF/MEK inhibitor therapy prior to radiological evidence of tumor progression. We concluded that EV-derived nucleic acids may provide clinically relevant diagnostic information and mirror evolution of the disease. METHOD SUMMARY Extracellular vesicles (EVs) derived from patient plasma were isolated via serial centrifugation, followed by EV-RNA isolation and EV-cDNA amplification. Amplified EV-cDNAs were analyzed with the Bio-Rad QX200(TM) ddPCR system (CA, USA). EVs were also morphologically visualized with transmission electron microscopy, while their proteomic content was verified by western blotting.</t>
  </si>
  <si>
    <t>[Yap, Soo Ann; Nonnenmacher, Anika; Keilholz, Ulrich; Liebs, Sandra] Charite Univ Med Berlin, Berlin, Germany; [Yap, Soo Ann; Muenster-Wandowski, Agnieszka; Nonnenmacher, Anika; Keilholz, Ulrich; Liebs, Sandra] Free Univ Berlin, Berlin, Germany; [Yap, Soo Ann; Muenster-Wandowski, Agnieszka; Nonnenmacher, Anika; Keilholz, Ulrich; Liebs, Sandra] Humboldt Univ, Berlin, Germany; [Yap, Soo Ann; Nonnenmacher, Anika; Keilholz, Ulrich; Liebs, Sandra] Berlin Inst Hlth, Charite Comprehens Canc Ctr, Berlin, Germany; [Muenster-Wandowski, Agnieszka] Charite Univ Med Berlin, Inst Integrat Neuroanat, Berlin, Germany; [Muenster-Wandowski, Agnieszka] Berlin Inst Hlth, Berlin, Germany; [Keilholz, Ulrich; Liebs, Sandra] German Canc Res Ctr, German Canc Consortium DKTK, Heidelberg, Germany</t>
  </si>
  <si>
    <t>Free University of Berlin; Humboldt University of Berlin; Charite Universitatsmedizin Berlin; Free University of Berlin; Humboldt University of Berlin; Free University of Berlin; Humboldt University of Berlin; Charite Universitatsmedizin Berlin; Free University of Berlin; Humboldt University of Berlin; Charite Universitatsmedizin Berlin; Helmholtz Association; German Cancer Research Center (DKFZ)</t>
  </si>
  <si>
    <t>Keilholz, U (corresponding author), Charite Univ Med Berlin, Berlin, Germany.;Keilholz, U (corresponding author), Free Univ Berlin, Berlin, Germany.;Keilholz, U (corresponding author), Humboldt Univ, Berlin, Germany.;Keilholz, U (corresponding author), Berlin Inst Hlth, Charite Comprehens Canc Ctr, Berlin, Germany.;Keilholz, U (corresponding author), German Canc Res Ctr, German Canc Consortium DKTK, Heidelberg, Germany.</t>
  </si>
  <si>
    <t>ulrich.keilholz@charite.de</t>
  </si>
  <si>
    <t>Münster-Wandowski, Agnieszka/Q-5690-2016</t>
  </si>
  <si>
    <t>Münster-Wandowski, Agnieszka/0000-0002-5401-0218; Yap, Soo Ann/0000-0002-9450-9822</t>
  </si>
  <si>
    <t>0736-6205</t>
  </si>
  <si>
    <t>1940-9818</t>
  </si>
  <si>
    <t>10.2144/btn-2020-0028</t>
  </si>
  <si>
    <t>WOS:000588651700005</t>
  </si>
  <si>
    <t>Puhka, M; Takatalo, M; Nordberg, ME; Valkonen, S; Nandania, J; Aatonen, M; Yliperttula, M; Laitinen, S; Velagapudi, V; Mirtti, T; Kallioniemi, O; Rannikko, A; Siljander, PRM; Af Hallstrom, TM</t>
  </si>
  <si>
    <t>Puhka, Maija; Takatalo, Maarit; Nordberg, Maria-Elisa; Valkonen, Sami; Nandania, Jatin; Aatonen, Maria; Yliperttula, Marjo; Laitinen, Saara; Velagapudi, Vidya; Mirtti, Tuomas; Kallioniemi, Olli; Rannikko, Antti; Siljander, Pia R-M; Af Hallstrom, Taija Maria</t>
  </si>
  <si>
    <t>Metabolomic Profiling of Extracellular Vesicles and Alternative Normalization Methods Reveal Enriched Metabolites and Strategies to Study Prostate Cancer-Related Changes</t>
  </si>
  <si>
    <t>extracellular vesicles; exosomes; metabolomics; urine; platelets; prostate cancer</t>
  </si>
  <si>
    <t>HUMAN URINARY EXOSOMES; BIOMARKER DISCOVERY; HYALURONAN</t>
  </si>
  <si>
    <t>Body fluids are a rich source of extracellular vesicles (EVs), which carry cargo derived from the secreting cells. So far, biomarkers for pathological conditions have been mainly searched from their protein, (mi) RNA, DNA and lipid cargo. Here, we explored the small molecule metabolites from urinary and platelet EVs relative to their matched source samples. As a proof-of-concept study of intra-EV metabolites, we compared alternative normalization methods to profile urinary EVs from prostate cancer patients before and after prostatectomy and from healthy controls. Methods: We employed targeted ultra-performance liquid chromatography-tandem mass spectrometry to profile over 100 metabolites in the isolated EVs, original urine samples and platelets. We determined the enrichment of the metabolites in the EVs and analyzed their subcellular origin, pathways and relevant enzymes or transporters through data base searches. EV-and urine-derived factors and ratios between metabolites were tested for normalization of the metabolomics data. Results: Approximately 1 x 10(10) EVs were sufficient for detection of metabolite profiles from EVs. The profiles of the urinary and platelet EVs overlapped with each other and with those of the source materials, but they also contained unique metabolites. The EVs enriched a selection of cytosolic metabolites including members from the nucleotide and spermidine pathways, which linked to a number of EV-resident enzymes or transporters. Analysis of the urinary EVs from the patients indicated that the levels of glucuronate, D-ribose 5-phosphate and isobutyryl-L-carnitine were 2-26-fold lower in all pre-prostatectomy samples compared to the healthy control and post-prostatectomy samples (p &lt; 0.05). These changes were only detected from EVs by normalization to EV-derived factors or with metabolite ratios, and not from the original urine samples. Conclusions: Our results suggest that metabolite analysis of EVs from different samples is feasible using a high-throughput platform and relatively small amount of sample material. With the knowledge about the specific enrichment of metabolites and normalization methods, EV metabolomics could be used to gain novel biomarker data not revealed by the analysis of the original EV source materials.</t>
  </si>
  <si>
    <t>[Puhka, Maija; Nordberg, Maria-Elisa; Mirtti, Tuomas; Kallioniemi, Olli; Rannikko, Antti; Af Hallstrom, Taija Maria] Univ Helsinki, Inst Mol Med Finland FIMM, Tukholmankatu 8,POB 20, Helsinki, Finland; [Takatalo, Maarit; Valkonen, Sami; Aatonen, Maria; Siljander, Pia R-M] Univ Helsinki, Fac Pharm, EV Grp, Div Biochem &amp; Biotechnol,Dept Biosci, Helsinki, Finland; [Takatalo, Maarit; Valkonen, Sami; Aatonen, Maria; Siljander, Pia R-M] Univ Helsinki, Fac Pharm, Div Pharmaceut Biosci, Helsinki, Finland; [Valkonen, Sami; Laitinen, Saara] Finnish Red Cross Blood Serv, Helsinki, Finland; [Yliperttula, Marjo] Univ Helsinki, Fac Pharm, Ctr Drug Res, Div Pharmaceut Biosci, Helsinki, Finland; [Nandania, Jatin; Velagapudi, Vidya] Inst Mol Med Finland FIMM, Metabol Unit, Helsinki, Finland; [Mirtti, Tuomas] Helsinki Univ Hosp, Dept Pathol HUSLAB, Helsinki, Finland; [Kallioniemi, Olli] Karolinska Inst, Dept Pathol &amp; Oncol, Sci Life Lab, Solna, Sweden; [Rannikko, Antti] Univ Helsinki, Cent Hosp, Dept Urol, Helsinki, Finland; [Af Hallstrom, Taija Maria] Orion Corp, Orion Pharma, Espoo, Finland</t>
  </si>
  <si>
    <t>University of Helsinki; EV Group; University of Helsinki; University of Helsinki; University of Helsinki; University of Helsinki; Helsinki University Central Hospital; Karolinska Institutet; University of Helsinki; Helsinki University Central Hospital; Orion Corporation</t>
  </si>
  <si>
    <t>Puhka, M (corresponding author), Univ Helsinki, Inst Mol Med Finland FIMM, Tukholmankatu 8,POB 20, Helsinki, Finland.</t>
  </si>
  <si>
    <t>Maija.Puhka@Helsinki.fi</t>
  </si>
  <si>
    <t>Puhka, Maija/AEA-7157-2022; Velagapudi, Vidya/L-7278-2015; Kallioniemi, Olli P/H-5111-2011; Rannikko, Antti/ABB-8453-2020</t>
  </si>
  <si>
    <t>Velagapudi, Vidya/0000-0002-8261-7164; Kallioniemi, Olli P/0000-0002-3231-0332; Rannikko, Antti/0000-0002-4261-3484; Valkonen, Sami/0000-0002-9804-7266; Aatonen, Maria/0000-0002-4819-6722; Mirtti, Tuomas/0000-0003-0455-9891; Siljander, Pia/0000-0003-2326-5821; Takatalo, Maarit/0000-0003-4825-6358; Puhka, Maija/0000-0002-6445-1017</t>
  </si>
  <si>
    <t>10.7150/thno.19890</t>
  </si>
  <si>
    <t>WOS:000410122600002</t>
  </si>
  <si>
    <t>Chang, CJ; Wang, HQ; Zhang, J; Zou, Y; Zhang, YH; Chen, JW; Chen, CB; Chung, WH; Ji, C</t>
  </si>
  <si>
    <t>Chang, Chih-Jung; Wang, Hai-Qing; Zhang, Jing; Zou, Ying; Zhang, Yi-Hua; Chen, Jia-Wen; Chen, Chun-Bing; Chung, Wen-Hung; Ji, Chao</t>
  </si>
  <si>
    <t>Distinct Proteomic Profiling of Plasma Extracellular Vesicles from Moderate-to-Severe Atopic Dermatitis Patients</t>
  </si>
  <si>
    <t>CLINICAL COSMETIC AND INVESTIGATIONAL DERMATOLOGY</t>
  </si>
  <si>
    <t>atopic dermatitis; extracellular vesicle; plasma; proteomic profiling</t>
  </si>
  <si>
    <t>PLATELET-ACTIVATION; EPIDEMIOLOGY; BIOLOGY</t>
  </si>
  <si>
    <t>Background: Atopic dermatitis (AD) is a chronic, inflammatory cutaneous disorder characterized by a T helper 2 (Th2) immune response phenotype. Extracellular vesicles (EVs) are a heterogeneous family of cell-derived membranous structures, which transport cellular components such as DNA and proteins, and are involved in multiple physiological and pathological processes. Increasing evidence has shown that EVs secretion took part in the pathogenesis of AD. However, the proteomic studies of plasma-derived EVs in AD patients have not been reported. Objective: In this study, we investigated the diversity of plasma EVs collected from AD patients and healthy individuals and suggested that the candidates for uniquely or differentially expressed proteins in plasma EVs could be a diagnostic marker in AD. Methods: The plasma EVs were collected from 12 patients with moderate-to-severe AD and 13 healthy subjects. Proteomic analysis was performed by using a comprehensive nanoLC-MS/MS method. Results: Proteomic analysis revealed that a total of 1478 proteins in plasma EVs were found to be common proteins in AD, whereas a total of 1597 proteins in plasma EVs were found to be common proteins in HC. Eighty-six proteins in plasma EVs showed more than 2.5-fold up-regulation, while a total of 225 proteins in plasma EVs showed less than 1/2.5-fold down-regulation with a significant difference (p &lt; 0.05) among AD compared with HC. The candidates for differentially expressed proteins in plasma EVs have been described as a connectivity PPI network related to several KEGG pathways, including pathways in platelet activation, complement, and so on. Conclusion: SLP-76 tyrosine phosphoprotein (SLP76) involved in platelet activation may significantly contribute to the pathogenesis of AD. We will further verify the role of SLP67 in AD via animal and cell experiments to provide a promising therapeutic or diagnostic target.</t>
  </si>
  <si>
    <t>[Chang, Chih-Jung; Chung, Wen-Hung] Xiamen Chang Gung Hosp, Med Res Ctr, Xiamen, Fujian, Peoples R China; [Chang, Chih-Jung; Chung, Wen-Hung] Xiamen Chang Gung Hosp, Xiamen Chang Gung Allergol Consortium, Xiamen, Fujian, Peoples R China; [Chang, Chih-Jung; Chen, Chun-Bing; Chung, Wen-Hung] Chang Gung Mem Hosp, Dept Dermatol, Taipei, Taiwan; [Chang, Chih-Jung; Chen, Chun-Bing; Chung, Wen-Hung] Chang Gung Mem Hosp, Drug Hypersensit Clin &amp; Res Ctr, Taipei, Taiwan; [Wang, Hai-Qing; Zhang, Jing; Zou, Ying; Zhang, Yi-Hua; Chen, Jia-Wen; Ji, Chao] Fujian Med Univ, Dept Dermatol, Affiliated Hosp 1, Fuzhou, Fujian, Peoples R China; [Chen, Chun-Bing; Chung, Wen-Hung] Chang Gung Mem Hosp, Dept Med Res, Canc Vaccine &amp; Immune Cell Therapy Core Lab, Taoyuan, Taiwan; [Chen, Chun-Bing] Chang Gung Univ, Coll Med, Taoyuan, Taiwan; [Chen, Chun-Bing; Chung, Wen-Hung] Chang Gung Mem Hosp, Whole Genome Res Core Lab Human Dis, Keelung, Taiwan; [Chen, Chun-Bing] Chang Gung Univ, Grad Inst Clin Med Sci, Taoyuan, Taiwan; [Chung, Wen-Hung] Xiamen Chang Gung Hosp, Dept Dermatol, Xiamen, Fujian, Peoples R China; [Chung, Wen-Hung] Shanghai Jiao Tong Univ, Sch Med, Shanghai, Peoples R China</t>
  </si>
  <si>
    <t>Chang Gung Memorial Hospital; Chang Gung Memorial Hospital; Fujian Medical University; Chang Gung Memorial Hospital; Chang Gung University; Chang Gung Memorial Hospital; Chang Gung University; Shanghai Jiao Tong University</t>
  </si>
  <si>
    <t>Chung, WH (corresponding author), Chang Gung Mem Hosp, Dept Dermatol, Taipei, Taiwan.;Chung, WH (corresponding author), Chang Gung Mem Hosp, Drug Hypersensit Clin &amp; Res Ctr, Taipei, Taiwan.;Ji, C (corresponding author), Fujian Med Univ, Dept Dermatol, Affiliated Hosp 1, Fuzhou, Fujian, Peoples R China.</t>
  </si>
  <si>
    <t>wenhungchung@yahoo.com; jichaofy@fjmu.edu.cn</t>
  </si>
  <si>
    <t>1178-7015</t>
  </si>
  <si>
    <t>10.2147/CCID.S325515</t>
  </si>
  <si>
    <t>Dermatology</t>
  </si>
  <si>
    <t>WOS:000688407700004</t>
  </si>
  <si>
    <t>Erozenci, LA; Bottger, F; Bijnsdorp, IV; Jimenez, CR</t>
  </si>
  <si>
    <t>Erozenci, Leyla Ayse; Bottger, Franziska; Bijnsdorp, Irene V.; Jimenez, Connie R.</t>
  </si>
  <si>
    <t>Urinary exosomal proteins as (pan-)cancer biomarkers: insights from the proteome</t>
  </si>
  <si>
    <t>FEBS LETTERS</t>
  </si>
  <si>
    <t>44th FEBS Congress on Celebrating the Multidisciplinarity of Biological Research</t>
  </si>
  <si>
    <t>Krakow, POLAND</t>
  </si>
  <si>
    <t>cancer; exosomes; extracellular vesicles; mass spectrometry; proteomics; urine</t>
  </si>
  <si>
    <t>EXTRACELLULAR VESICLES; LIQUID BIOPSIES; CLINICAL IMPACT; NUCLEIC-ACIDS; CANCER; IDENTIFICATION; DISCOVERY; MICROVESICLES; CELLS; DNA</t>
  </si>
  <si>
    <t>Exosomes are extracellular vesicles (EVs) released from cells under both physiological and pathological conditions, and may, thus, be present in biofluids. Urine is one of the most accessible biofluids implemented in clinical diagnostics. Recent mass spectrometry (MS)-based proteomic analyses have enabled high-throughput, deep proteome profiling of urinary EVs for the discovery, quantification and characterization of cancer-specific exosome biomarkers. The protein cargo of urine exosomes is emerging as an attractive source for biomarkers, not only for urological cancers, such as prostate, bladder and kidney cancer, but potentially also for nonurological cancers, including gastric, lung, oesophageal and colorectal cancer. More recently, exosome proteomics dissected protein cargo in the lumen and at the surface of EVs, and unexpectedly indicated that RNA- and DNA-binding proteins might also be present on vesicular surfaces. Here, we analyse MS-based proteomic data on urinary exosomes from cancer patients, and discuss the potential of urinary exosome-derived biomarkers in cancer.</t>
  </si>
  <si>
    <t>[Erozenci, Leyla Ayse; Bottger, Franziska; Jimenez, Connie R.] Vrije Univ Amsterdam, Amsterdam UMC, Canc Ctr Amsterdam, Dept Med Oncol, NL-1081 HV Amsterdam, Netherlands; [Erozenci, Leyla Ayse; Bottger, Franziska; Bijnsdorp, Irene V.; Jimenez, Connie R.] Vrije Univ Amsterdam, Amsterdam UMC, Canc Ctr Amsterdam, OncoProte Lab, Amsterdam, Netherlands; [Bijnsdorp, Irene V.] Vrije Univ Amsterdam, Amsterdam UMC, Dept Urol, Amsterdam, Netherlands</t>
  </si>
  <si>
    <t>University of Amsterdam; Vrije Universiteit Amsterdam; University of Amsterdam; Vrije Universiteit Amsterdam; University of Amsterdam; Vrije Universiteit Amsterdam</t>
  </si>
  <si>
    <t>Jimenez, CR (corresponding author), Vrije Univ Amsterdam, Amsterdam UMC, Canc Ctr Amsterdam, Dept Med Oncol, NL-1081 HV Amsterdam, Netherlands.</t>
  </si>
  <si>
    <t>c.jimenez@amsterdamumc.nl</t>
  </si>
  <si>
    <t>Jimenez, Connie/AAI-3763-2020</t>
  </si>
  <si>
    <t>Jimenez, Connie R/0000-0002-3103-4508</t>
  </si>
  <si>
    <t>0014-5793</t>
  </si>
  <si>
    <t>1873-3468</t>
  </si>
  <si>
    <t>10.1002/1873-3468.13487</t>
  </si>
  <si>
    <t>Biochemistry &amp; Molecular Biology; Biophysics; Cell Biology</t>
  </si>
  <si>
    <t>Science Citation Index Expanded (SCI-EXPANDED); Conference Proceedings Citation Index - Science (CPCI-S)</t>
  </si>
  <si>
    <t>WOS:000477916000014</t>
  </si>
  <si>
    <t>Liu, W; Ota, M; Tabushi, M; Takahashi, Y; Takakura, Y</t>
  </si>
  <si>
    <t>Liu, Wen; Ota, Maki; Tabushi, Mayu; Takahashi, Yuki; Takakura, Yoshinobu</t>
  </si>
  <si>
    <t>Development of allergic rhinitis immunotherapy using antigen-loaded small extracellular vesicles</t>
  </si>
  <si>
    <t>JOURNAL OF CONTROLLED RELEASE</t>
  </si>
  <si>
    <t>Small extracellular vesicles; CpG DNA; Allergic rhinitis</t>
  </si>
  <si>
    <t>CPG-ODN; EXOSOMES; CELLS; DELIVERY; DNA; INFLAMMATION; RESPONSES; EXPOSURE; PHASE</t>
  </si>
  <si>
    <t>Allergic rhinitis is caused by a breakdown of the Th1/Th2 balance, in which the allergen-induced Th2 immune response predominates over the Th1 immune response, culminating in IgE-mediated anaphylaxis. In this study, we used small extracellular vesicles (sEVs), cell-derived membrane vesicles with a particle size of 100 nm, as simultaneous delivery carriers for allergens (ovalbumin, OVA) and CpG DNA, an adjuvant that can induce a Th1 immune response, for the treatment of allergic rhinitis. sEVs loaded with CpG DNA and OVA(CpG-OVA-sEVs) were successfully prepared. CpG-OVA-sEVs possessed an average particle size of 90 nm and average zeta potential of-30 mV. CpG DNA modification did not influence the uptake of sEVs by dendritic cells and CpG-OVAsEV can activate dendritic cells. The CpG-OVA-sEVs were delivered to the nasopharynx-associated lymphoid tissue (NALT) of mice and were primarily taken up by the CD11c positive cells after intranasal administration. Intranasally administering CpG-OVA-sEVs significantly enhanced OVA-specific IgG antibody titers in mice models of allergic rhinitis, suggesting a transformed Th1/2 balance. Moreover, The CpG-OVA-sEV administration alleviated allergic symptoms compared to the control group. Further, the amount of IgE secreted in mouse serum decreased. Thus, CpG-OVA-sEVs could be a useful therapeutic method for treating allergic rhinitis.</t>
  </si>
  <si>
    <t>[Liu, Wen; Ota, Maki; Tabushi, Mayu; Takahashi, Yuki; Takakura, Yoshinobu] Kyoto Univ, Grad Sch Pharmaceut Sci, Dept Biopharmaceut &amp; Drug Metab, Sakyo Ku, 46-29 Yoshidashimoadachi Cho, Kyoto 6068501, Japan</t>
  </si>
  <si>
    <t>Kyoto University</t>
  </si>
  <si>
    <t>Takahashi, Y (corresponding author), Kyoto Univ, Grad Sch Pharmaceut Sci, Dept Biopharmaceut &amp; Drug Metab, Sakyo Ku, 46-29 Yoshidashimoadachi Cho, Kyoto 6068501, Japan.</t>
  </si>
  <si>
    <t>ytakahashi@pharm.kyoto-u.ac.jp</t>
  </si>
  <si>
    <t>0168-3659</t>
  </si>
  <si>
    <t>1873-4995</t>
  </si>
  <si>
    <t>10.1016/j.jconrel.2022.03.016</t>
  </si>
  <si>
    <t>Chemistry, Multidisciplinary; Pharmacology &amp; Pharmacy</t>
  </si>
  <si>
    <t>Chemistry; Pharmacology &amp; Pharmacy</t>
  </si>
  <si>
    <t>WOS:000793719500001</t>
  </si>
  <si>
    <t>Sundaram, PM; Casadei, L; Lopez, G; Braggio, D; Balakirsky, G; Pollock, R; Prakash, S</t>
  </si>
  <si>
    <t>Sundaram, Prashanth Mohana; Casadei, Lucia; Lopez, Gonzalo; Braggio, Danielle; Balakirsky, Gita; Pollock, Raphael; Prakash, Shaurya</t>
  </si>
  <si>
    <t>Multi-Layer Micro-Nanofluidic Device for Isolation and Capture of Extracellular Vesicles Derived From Liposarcoma Cell Conditioned Media</t>
  </si>
  <si>
    <t>JOURNAL OF MICROELECTROMECHANICAL SYSTEMS</t>
  </si>
  <si>
    <t>Silicon; Biomembranes; Extracellular; Plasmas; Cancer; DNA; Scanning electron microscopy; Extracellular vesicles; exosomes; microfluidics; nanofluidics; liposarcoma; cancer</t>
  </si>
  <si>
    <t>EXOSOMES; MDM2; BENIGN; TISSUE; LIPOMA</t>
  </si>
  <si>
    <t>We report on isolation, capture, and subsequent elution for analysis of extracellular vesicles derived from human liposarcoma cell conditioned media, using a multi-layer micro-nanofluidic device operated with tangential flow separation. Our device integrates size-based separation followed by immunoaffinity-based capture of extracellular vesicles in the same device. For liposarcomas, this is the first report on isolating, capturing, and then eluting the extracellular vesicles using a micro-nanofluidic device. The results show a significantly higher yield of the eluted extracellular vesicles (similar to 84%) compared to the current methods of ultracentrifugation (similar to 6%) and ExoQuick-based separations (similar to 16%). [2020-0155]</t>
  </si>
  <si>
    <t>[Sundaram, Prashanth Mohana; Prakash, Shaurya] Ohio State Univ, Dept Mech &amp; Aerosp Engn, Columbus, OH 43210 USA; [Casadei, Lucia; Lopez, Gonzalo; Braggio, Danielle; Balakirsky, Gita; Pollock, Raphael; Prakash, Shaurya] Ohio State Univ, Comprehens Canc Ctr, Columbus, OH 43210 USA</t>
  </si>
  <si>
    <t>Ohio State University; James Cancer Hospital &amp; Solove Research Institute; Ohio State University</t>
  </si>
  <si>
    <t>Prakash, S (corresponding author), Ohio State Univ, Dept Mech &amp; Aerosp Engn, Columbus, OH 43210 USA.</t>
  </si>
  <si>
    <t>prakash.31@osu.edu</t>
  </si>
  <si>
    <t>Pollock, Raphael/0000-0002-0443-1583; Mohana Sundaram, Prashanth/0000-0002-9747-3060; Prakash, Shaurya/0000-0002-5263-0843; CASADEI, Lucia/0000-0002-5731-8197</t>
  </si>
  <si>
    <t>1057-7157</t>
  </si>
  <si>
    <t>1941-0158</t>
  </si>
  <si>
    <t>10.1109/JMEMS.2020.3006786</t>
  </si>
  <si>
    <t>Engineering, Electrical &amp; Electronic; Nanoscience &amp; Nanotechnology; Instruments &amp; Instrumentation; Physics, Applied</t>
  </si>
  <si>
    <t>Engineering; Science &amp; Technology - Other Topics; Instruments &amp; Instrumentation; Physics</t>
  </si>
  <si>
    <t>WOS:000576466500023</t>
  </si>
  <si>
    <t>Tsilioni, I; Theoharides, TC</t>
  </si>
  <si>
    <t>Tsilioni, Irene; Theoharides, Theoharis C.</t>
  </si>
  <si>
    <t>Extracellular vesicles are increased in the serum of children with autism spectrum disorder, contain mitochondrial DNA, and stimulate human microglia to secrete IL-1 beta</t>
  </si>
  <si>
    <t>JOURNAL OF NEUROINFLAMMATION</t>
  </si>
  <si>
    <t>Autism spectrum disorder; Brain; Exosomes; Extracellular vesicles; Inflammation; IL-1 beta; Microglia; Mitochondrial DNA</t>
  </si>
  <si>
    <t>MAST-CELLS; EXOSOMES; BRAIN; NEUROINFLAMMATION; MEDIATORS; COMMUNICATION; NEUROBIOLOGY; ACTIVATION; INDUCTION; RESPONSES</t>
  </si>
  <si>
    <t>Background: Autism spectrum disorder (ASD) has been associated with brain inflammation as indicated by the activation of microglia, but the triggers are not known. Extracellular vesicles (EVs) are secreted from many cells in the blood and other biological fluids and carry molecules that could influence the function of target cells. EVs have been recently implicated in several diseases, but their presence or function in ASD has not been studied. Methods: EVs were isolated from the serum of children with ASD (n = 20, 16 males and 4 females, 4-12 years old) and unrelated age and sex-matched normotypic controls (n = 8, 6 males and 2 females, 4-12 years old) using the exoEasy Qiagen kit. EVs were characterized by determining the CD9 and CD81 membrane-associated markers with Western blot analysis, while their morphology and size were assessed by transmission electron microscopy (TEM). Human microglia SV40 were cultured for 24 h and then stimulated with EVs (1 or 5 mu g/mL), quantitated as total EV-associated protein, for 24 or 48 h. IL-1 beta secretion was measured by ELISA. The results were analyzed using the Mann-Whitney U non-parametric test, and all statistical analyses were performed using Graph Pad Prism 5. Results: EVs were isolated and shown to be spherical structures (about 100 nm) surrounded by a membrane. Total EV-associated protein was found to be significantly increased (p = 0.02) in patients as compared to normotypic controls. EVs (5 mu g/mL) isolated from the serum of patients with ASD stimulated cultured human microglia to secrete significantly more of the pro-inflammatory cytokine interleukin IL-1 beta (163.5 +/- 13.34 pg/mL) as compared to the control (117.7 +/- 3.96 pg/mL, p &lt; 0.0001). The amount of mitochondrial DNA (mtDNA7S) contained in EVs from children with ASD was found to be increased (p = 0.046) compared to the normotypic controls. Conclusions: These findings provide novel information that may help explain what triggers inflammation in the brain of children with ASD and could lead to novel effective treatments.</t>
  </si>
  <si>
    <t>[Tsilioni, Irene; Theoharides, Theoharis C.] Tufts Univ, Dept Immunol, Sch Med, 136 Harrison Ave,Suite J304, Boston, MA 02111 USA; [Theoharides, Theoharis C.] Tufts Univ, Sackler Sch Grad Biomed Sci, Tufts Med Ctr, Sch Med, Boston, MA 02111 USA; [Theoharides, Theoharis C.] Tufts Univ, Sch Med, Dept Internal Med, Tufts Med Ctr, Boston, MA 02111 USA; [Theoharides, Theoharis C.] Tufts Univ, Sch Med, Dept Psychiat, Tufts Med Ctr, Boston, MA 02111 USA</t>
  </si>
  <si>
    <t>Tufts University; Tufts Medical Center; Tufts University; Tufts Medical Center; Tufts University; Tufts Medical Center; Tufts University</t>
  </si>
  <si>
    <t>Theoharides, TC (corresponding author), Tufts Univ, Dept Immunol, Sch Med, 136 Harrison Ave,Suite J304, Boston, MA 02111 USA.;Theoharides, TC (corresponding author), Tufts Univ, Sackler Sch Grad Biomed Sci, Tufts Med Ctr, Sch Med, Boston, MA 02111 USA.;Theoharides, TC (corresponding author), Tufts Univ, Sch Med, Dept Internal Med, Tufts Med Ctr, Boston, MA 02111 USA.;Theoharides, TC (corresponding author), Tufts Univ, Sch Med, Dept Psychiat, Tufts Med Ctr, Boston, MA 02111 USA.</t>
  </si>
  <si>
    <t>theoharis.theoharides@tufts.edu</t>
  </si>
  <si>
    <t>1742-2094</t>
  </si>
  <si>
    <t>AUG 27</t>
  </si>
  <si>
    <t>10.1186/s12974-018-1275-5</t>
  </si>
  <si>
    <t>Immunology; Neurosciences</t>
  </si>
  <si>
    <t>Science Citation Index Expanded (SCI-EXPANDED); Social Science Citation Index (SSCI)</t>
  </si>
  <si>
    <t>Immunology; Neurosciences &amp; Neurology</t>
  </si>
  <si>
    <t>WOS:000442840300001</t>
  </si>
  <si>
    <t>Enderle, D; Spiel, A; Coticchia, CM; Berghoff, E; Mueller, R; Schlumpberger, M; Sprenger-Haussels, M; Shaffer, JM; Lader, E; Skog, J; Noerholm, M</t>
  </si>
  <si>
    <t>Enderle, Daniel; Spiel, Alexandra; Coticchia, Christine M.; Berghoff, Emily; Mueller, Romy; Schlumpberger, Martin; Sprenger-Haussels, Markus; Shaffer, Jonathan M.; Lader, Eric; Skog, Johan; Noerholm, Mikkel</t>
  </si>
  <si>
    <t>Characterization of RNA from Exosomes and Other Extracellular Vesicles Isolated by a Novel Spin Column-Based Method</t>
  </si>
  <si>
    <t>CIRCULATING TUMOR DNA; MICROVESICLES; PLASMA; CELLS; MICRORNAS; RECEPTOR; SERUM; RESISTANCE; STABILITY; GROWTH</t>
  </si>
  <si>
    <t>Exosomes and other extracellular vesicles (commonly referred to as EVs) have generated a lot of attention for their potential applications in both diagnostics and therapeutics. The contents of these vesicles are the subject of intense research, and the relatively recent discovery of RNA inside EVs has raised interest in the biological function of these RNAs as well as their potential as biomarkers for cancer and other diseases. Traditional ultracentrifugation-based protocols to isolate EVs are labor-intensive and subject to significant variability. Various attempts to develop methods with robust, reproducible performance have not yet been completely successful. Here, we report the development and characterization of a spin column-based method for the isolation of total RNA from EVs in serum and plasma. This method isolates highly pure RNA of equal or higher quantity compared to ultracentrifugation, with high specificity for vesicular over non-vesicular RNA. The spin columns have a capacity to handle up to 4 mL sample volume, enabling detection of low-abundance transcripts in serum and plasma. We conclude that the method is an improvement over traditional methods in providing a faster, more standardized way to achieve reliable high quality RNA preparations from EVs in biofluids such as serum and plasma. The first kit utilizing this new method has recently been made available by Qiagen as exoRNeasy Serum/Plasma Maxi Kit.</t>
  </si>
  <si>
    <t>[Enderle, Daniel; Spiel, Alexandra; Mueller, Romy; Noerholm, Mikkel] Exosome Diagnost GmbH, D-82152 Martinsried, Germany; [Coticchia, Christine M.; Berghoff, Emily; Skog, Johan] Exosome Diagnost Inc, Cambridge, MA 02139 USA; [Schlumpberger, Martin; Sprenger-Haussels, Markus] QIAGEN GmbH, D-40274 Hilden, Germany; [Shaffer, Jonathan M.; Lader, Eric] QIAGEN, Frederick, MD 21703 USA</t>
  </si>
  <si>
    <t>QIAGEN GmbH</t>
  </si>
  <si>
    <t>Enderle, D (corresponding author), Exosome Diagnost GmbH, Klopferspitz 19a, D-82152 Martinsried, Germany.</t>
  </si>
  <si>
    <t>daniel@exosomedx.com</t>
  </si>
  <si>
    <t>AUG 28</t>
  </si>
  <si>
    <t>e0136133</t>
  </si>
  <si>
    <t>10.1371/journal.pone.0136133</t>
  </si>
  <si>
    <t>WOS:000360299100059</t>
  </si>
  <si>
    <t>Shang, MY; Ji, JS; Song, C; Gao, BJ; Jin, JG; Kuo, WP; Kang, HJ</t>
  </si>
  <si>
    <t>Kuo, WP; Jia, S</t>
  </si>
  <si>
    <t>Shang, Mingyi; Ji, John S.; Song, Chao; Gao, Bao Jun; Jin, Jason Gang; Kuo, Winston Patrick; Kang, Hongjun</t>
  </si>
  <si>
    <t>Extracellular Vesicles: A Brief Overview and Its Role in Precision Medicine</t>
  </si>
  <si>
    <t>EXTRACELLULAR VESICLES: METHODS AND PROTOCOLS</t>
  </si>
  <si>
    <t>Exosomes; Biogenesis; Extracellular vesicles; Precision medicine; Liquid biopsy; Diagnostics; Therapeutics</t>
  </si>
  <si>
    <t>CELL-DERIVED-EXOSOMES; INTERCELLULAR COMMUNICATION; MULTIVESICULAR ENDOSOMES; DIAGNOSTIC BIOMARKERS; TRANSFERRIN RECEPTOR; TUMOR HETEROGENEITY; PROTEOMICS ANALYSIS; MEMBRANE-FRAGMENTS; PROSTATE-CANCER; PLASMA-MEMBRANE</t>
  </si>
  <si>
    <t>Precision medicine has emerged as an approach to tailor therapies for an individual at the time of diagnosis and/or treatment. This emergence has been fueled by the ability to profile nucleic acids, along with proteins and lipids isolated from biofluids, a method called liquid biopsy, either by or in combination of one of the following components: circulating tumor cells (CTCs), cell-free DNA (cfDNA), and/or extracellular vesicles (EVs). EVs are membrane-surrounded structures released by cells in an evolutionarily conserved manner. EVs have gained much attention from both the basic and clinical research areas, as EVs appear to play a role in many diseases; however, the well-known case is cancer. The hallmark of EVs in cancer is their role as mediators of communication between cells both at physiological and pathophysiological levels; hence, EVs are thought to contribute to the creation of a microenvironmental niche that promotes cancer cell survival, as well as reprogramming distant tissue for invasion. It is important to understand the mechanistic and functional aspects at the basic science level of EVs to get a better grasp on their role in healthy and disease states. EVs range from 30-1000 nm membrane-enclosed vesicles that are released by many mammalian cell types and present in a variety of biofluids. EVs have emerged as an area of clinical interest in the era of Precision Medicine, from their role in liquid biopsy (tissue biopsy free) approach for screening, assessing tumor heterogeneity, monitoring therapeutic responses, and minimal residual disease detection to EV-based therapeutics. EVs' diagnostic and therapeutic exploitation is under intense investigation in various indications. This chapter highlights EV biogenesis, composition of EVs, and their potential role in liquid biopsy diagnostics and therapeutics in the area of cancer.</t>
  </si>
  <si>
    <t>[Shang, Mingyi] Shanghai Tongren Hosp, Dept Radiol, Shanghai, Peoples R China; [Ji, John S.] Duke Kunshan Univ, Environm Hlth Sci, Shanghai, Peoples R China; [Song, Chao; Gao, Bao Jun; Jin, Jason Gang; Kuo, Winston Patrick] CloudHlth Genom Ltd, Shanghai, Peoples R China; [Kuo, Winston Patrick] Westchester Biotech Project, Asbury Pk, NJ USA; [Kang, Hongjun] Chinese Peoples Liberat Army Gen Hosp, Dept Crit Care Med, Beijing, Peoples R China</t>
  </si>
  <si>
    <t>Shanghai Jiao Tong University; Duke Kunshan University; Chinese People's Liberation Army General Hospital</t>
  </si>
  <si>
    <t>Shang, MY (corresponding author), Shanghai Tongren Hosp, Dept Radiol, Shanghai, Peoples R China.</t>
  </si>
  <si>
    <t>Ji, John/AAT-4219-2021</t>
  </si>
  <si>
    <t>Ji, John/0000-0002-5002-118X</t>
  </si>
  <si>
    <t>978-1-4939-7253-1; 978-1-4939-7251-7</t>
  </si>
  <si>
    <t>10.1007/978-1-4939-7253-1_1</t>
  </si>
  <si>
    <t>10.1007/978-1-4939-7253-1</t>
  </si>
  <si>
    <t>Biochemical Research Methods; Biochemistry &amp; Molecular Biology; Cell Biology</t>
  </si>
  <si>
    <t>Biochemistry &amp; Molecular Biology; Cell Biology</t>
  </si>
  <si>
    <t>WOS:000429457100002</t>
  </si>
  <si>
    <t>De Carolis, S; Storci, G; Ceccarelli, C; Savini, C; Gallucci, L; Sansone, P; Santini, D; Seracchioli, R; Taffurelli, M; Fabbri, F; Romani, F; Compagnone, G; Giuliani, C; Garagnani, P; Bonafe, M; Cricca, M</t>
  </si>
  <si>
    <t>De Carolis, Sabrina; Storci, Gianluca; Ceccarelli, Claudio; Savini, Claudia; Gallucci, Lara; Sansone, Pasquale; Santini, Donatella; Seracchioli, Renato; Taffurelli, Mario; Fabbri, Francesco; Romani, Fabrizio; Compagnone, Gaetano; Giuliani, Cristina; Garagnani, Paolo; Bonafe, Massimiliano; Cricca, Monica</t>
  </si>
  <si>
    <t>HPV DNA Associates With Breast Cancer Malignancy and It Is Transferred to Breast Cancer Stromal Cells by Extracellular Vesicles</t>
  </si>
  <si>
    <t>Human Papillomavirus (HPV); extracellular vesicles (EVs); triple negative BC; stromal cells; circulating HPV DNA</t>
  </si>
  <si>
    <t>HUMAN-PAPILLOMAVIRUS DNA; VIRAL-INFECTIONS; EXOSOMES; SECRETION; RADIATION</t>
  </si>
  <si>
    <t>A causal link between Human Papillomavirus (HPV) and breast cancer (BC) remains controversial. In spite of this, the observation that HPV DNA is over-represented in the Triple Negative (TN) BC has been reported. Here we remark the high prevalence of HPV DNA (44.4%) in aggressive BC subtypes (TN and HER2+) in a population of 273 Italian women and we convey the presence of HPV DNA in the epithelial and stromal compartments by in situ hybridization. As previously reported, we also found that serum derived-extracellular vesicles (EVs) from BC affected patients contain HPV DNA. Interestingly, in one TNBC patient, the same HPV DNA type was detected in the serum-derived EVs, cervical and BC tissue samples. Then, we report that HPV DNA can be transferred by EVs to recipient BC stromal cells that show an activated phenotype (e.g., CD44, IL6 expression) and an enhanced capability to sustain mammospheres (MS) formation. These data suggest that HPV DNA vehiculated by EVs is a potential trigger for BC niche aggressiveness.</t>
  </si>
  <si>
    <t>[De Carolis, Sabrina; Storci, Gianluca; Ceccarelli, Claudio; Savini, Claudia; Giuliani, Cristina; Garagnani, Paolo; Bonafe, Massimiliano; Cricca, Monica] Univ Bologna, Dept Expt Diagnost &amp; Specialty Med, Bologna, Italy; [De Carolis, Sabrina; Storci, Gianluca; Bonafe, Massimiliano] St Orsola Marcello Malpighi Hosp, Ctr Appl Biomed Res CRBA, Bologna, Italy; [Savini, Claudia; Sansone, Pasquale] Mem Sloan Kettering Canc Ctr, Dept Med, 1275 York Ave, New York, NY 10021 USA; [Gallucci, Lara] Univ Hosp Heidelberg, CIID, Dept Infect Dis, Integrat Virol, Heidelberg, Germany; [Sansone, Pasquale] Weill Cornell Med, Childrens Canc &amp; Blood Fdn Labs, New York, NY USA; [Santini, Donatella] St Orsola Marcello Malpighi Hosp, Operat Unit Pathol, Bologna, Italy; [Seracchioli, Renato; Taffurelli, Mario] Univ Bologna, Dept Med &amp; Surg Sci, Bologna, Italy; [Fabbri, Francesco] IRCCS, Ist Sci Romagnolo Studio &amp; Cura Tumori IRST, Biosci Lab, Medola, Italy; [Romani, Fabrizio; Compagnone, Gaetano] S Orsola Malpighi Univ Hosp, Dept Med Phys, Bologna, Italy; [Giuliani, Cristina; Garagnani, Paolo] Univ Bologna, Interdept Ctr L Galvani CIG, Bologna, Italy</t>
  </si>
  <si>
    <t>University of Bologna; IRCCS Azienda Ospedaliero-Universitaria di Bologna; Memorial Sloan Kettering Cancer Center; Ruprecht Karls University Heidelberg; Cornell University; IRCCS Azienda Ospedaliero-Universitaria di Bologna; University of Bologna; IRCCS Meldola (IRST); IRCCS Azienda Ospedaliero-Universitaria di Bologna; University of Bologna</t>
  </si>
  <si>
    <t>Bonafe, M; Cricca, M (corresponding author), Univ Bologna, Dept Expt Diagnost &amp; Specialty Med, Bologna, Italy.;Bonafe, M (corresponding author), St Orsola Marcello Malpighi Hosp, Ctr Appl Biomed Res CRBA, Bologna, Italy.</t>
  </si>
  <si>
    <t>massimiliano.bonafe@unibo.it; monica.cricca3@unibo.it</t>
  </si>
  <si>
    <t>ceccarelli, claudio/AAS-6105-2020; Santini, Donatella/AAO-1490-2021; Fabbri, Francesco/K-1751-2018</t>
  </si>
  <si>
    <t>ceccarelli, claudio/0000-0003-0743-2087; Fabbri, Francesco/0000-0002-7885-3025; Giuliani, Cristina/0000-0002-5318-6502; STORCI, GIANLUCA/0000-0001-5145-3091; santini, donatella/0000-0002-1692-6348; Gallucci, Lara/0000-0001-6032-2675</t>
  </si>
  <si>
    <t>SEP 16</t>
  </si>
  <si>
    <t>10.3389/fonc.2019.00860</t>
  </si>
  <si>
    <t>WOS:000486516900001</t>
  </si>
  <si>
    <t>Barone, M; Barone, M; Ricci, F; Auteri, G; Fabbri, F; Bandini, E; Francia, F; Tazzari, PL; Vianelli, N; Turroni, S; Cavo, M; Catani, L; Candela, M; Palandri, F</t>
  </si>
  <si>
    <t>Barone, Martina; Barone, Monica; Ricci, Francesca; Auteri, Giuseppe; Fabbri, Francesco; Bandini, Erika; Francia, Francesco; Tazzari, Pier Luigi; Vianelli, Nicola; Turroni, Silvia; Cavo, Michele; Catani, Lucia; Candela, Marco; Palandri, Francesca</t>
  </si>
  <si>
    <t>A Specific Host/Microbial Signature of Plasma-Derived Extracellular Vesicles Is Associated to Thrombosis and Marrow Fibrosis in Polycythemia Vera</t>
  </si>
  <si>
    <t>polycythemia vera; extracellular vesicles; microbial DNA cargo; biomarker; thrombosis; marrow fibrosis</t>
  </si>
  <si>
    <t>STAPHYLOCOCCUS-AUREUS; MICROBIOME</t>
  </si>
  <si>
    <t>Simple Summary: Patients with polycythemia vera, a myeloproliferative neoplasm, are at increased risk of thrombosis and progression to myelofibrosis. However, no disease-specific risk factors have been identified so far. Extracellular vesicles, released from a broad variety of cells, are receiving increasing attention for their effects on cell-to-cell communication. In addition, they play a role in cancer and thrombosis. Interestingly, circulating microbial components/microbes have been recently indicated as potential modifiers of inflammation and coagulation. Here, we identified a signature of thrombosis history and marrow fibrosis by analyzing the phenotype and the microbial DNA cargo of the circulating extracellular vesicles after isolation from the plasma of patients with polycythemia vera. These data may support the role of extracellular vesicles as liquid biomarkers of aggressive disease, thus contributing to refining the prognosis of polycythemia vera. Polycythemia vera is a myeloproliferative neoplasm with increased risk of thrombosis and progression to myelofibrosis. However, no disease-specific risk factors have been identified so far. Circulating extracellular vesicles (EVs) are mostly of megakaryocyte (MK-EVs) and platelet (PLT-EVs) origin and, along with phosphatidylethanolamine (PE)-EVs, play a role in cancer and thrombosis. Interestingly, circulating microbial components/microbes have been recently indicated as potential modifiers of inflammation and coagulation. Here, we investigated phenotype and microbial DNA cargo of EVs after isolation from the plasma of 38 patients with polycythemia vera. Increased proportion of MK-EVs and reduced proportion of PLT-EVs identify patients with thrombosis history. Interestingly, EVs from patients with thrombosis history were depleted in Staphylococcus DNA but enriched in DNA from Actinobacteria members as well as Anaerococcus. In addition, patients with thrombosis history had also lower levels of lipopolysaccharide-associated EVs. In regard to fibrosis, along with increased proportion of PE-EVs, the EVs of patients with marrow fibrosis were enriched in DNA from Collinsella and Flavobacterium. Here, we identified a polycythemia-vera-specific host/microbial EV-based signature associated to thrombosis history and marrow fibrosis. These data may contribute to refining PV prognosis and to identifying novel druggable targets.</t>
  </si>
  <si>
    <t>[Barone, Martina; Auteri, Giuseppe; Cavo, Michele; Catani, Lucia] Univ Bologna, Ist Ematol Seragnoli, Dept Expt Diagnost &amp; Specialty Med, I-40138 Bologna, Italy; [Barone, Monica] Univ Bologna, Dept Med &amp; Surg Sci, I-40138 Bologna, Italy; [Barone, Monica; Francia, Francesco; Turroni, Silvia; Candela, Marco] Univ Bologna, Dept Pharm &amp; Biotechnol, I-40138 Bologna, Italy; [Ricci, Francesca; Tazzari, Pier Luigi] Azienda Osped Univ Bologna, IRCCS, Serv Immunoematol &amp; Trasfus, I-40138 Bologna, Italy; [Fabbri, Francesco; Bandini, Erika] IRCCS, Ist Romagnolo Studio Tumori IRST Dino Amadori, I-47014 Meldola, Italy; [Vianelli, Nicola; Cavo, Michele; Catani, Lucia; Palandri, Francesca] Azienda Osped Univ Bologna, IRCCS, Ist Ematol Seragnoli, I-40138 Bologna, Italy</t>
  </si>
  <si>
    <t>University of Bologna; University of Bologna; University of Bologna; IRCCS Azienda Ospedaliero-Universitaria di Bologna; University of Bologna; IRCCS Azienda Ospedaliero-Universitaria di Bologna; University of Bologna</t>
  </si>
  <si>
    <t>Catani, L (corresponding author), Univ Bologna, Ist Ematol Seragnoli, Dept Expt Diagnost &amp; Specialty Med, I-40138 Bologna, Italy.;Catani, L (corresponding author), Azienda Osped Univ Bologna, IRCCS, Ist Ematol Seragnoli, I-40138 Bologna, Italy.</t>
  </si>
  <si>
    <t>martina.barone5@unibo.it; monica.barone@unibo.it; francesca.ricci@aosp.bo.it; pierluigi.tazzari@aosp.bo.it; francesco.fabbri@irst.emr.it; erika.bandini@irst.emr.it; francesco.francia@unibo.it; pierluigi.tazzari@aosp.bo.it; nicola.vianelli@unibo.it; silvia.turroni@unibo.it; michele.cavo@unibo.it; lucia.catani@unibo.it; marco.candela@unibo.it; francesca.palandri@unibo.it</t>
  </si>
  <si>
    <t>Fabbri, Francesco/K-1751-2018</t>
  </si>
  <si>
    <t>Fabbri, Francesco/0000-0002-7885-3025; Turroni, Silvia/0000-0003-2345-9482; Ricci, Francesca/0000-0003-4387-1415; PALANDRI, FRANCESCA/0000-0001-8367-5668; Bandini, Erika/0000-0002-4378-3573; FRANCIA, FRANCESCO/0000-0003-2888-0938; Catani, Lucia/0000-0002-4650-201X; CAVO, MICHELE/0000-0003-4514-3227</t>
  </si>
  <si>
    <t>10.3390/cancers13194968</t>
  </si>
  <si>
    <t>WOS:000709624800001</t>
  </si>
  <si>
    <t>Kamyabi, N; Abbasgholizadeh, R; Maitra, A; Ardekani, A; Biswal, SL; Grande-Allen, KJ</t>
  </si>
  <si>
    <t>Kamyabi, Nabiollah; Abbasgholizadeh, Reza; Maitra, Anirban; Ardekani, Arezoo; Biswal, Sibani L.; Grande-Allen, K. Jane</t>
  </si>
  <si>
    <t>Isolation and mutational assessment of pancreatic cancer extracellular vesicles using a microfluidic platform</t>
  </si>
  <si>
    <t>BIOMEDICAL MICRODEVICES</t>
  </si>
  <si>
    <t>Extracellular vesicles; Microfluidics; Pancreatic cancer; ddPCR</t>
  </si>
  <si>
    <t>PLASMA; KRAS; DNA</t>
  </si>
  <si>
    <t>Cancer cells release extracellular vesicles known as extracellular vesicles (EVs), containing tumor-derived DNA, RNA and proteins within their cargo, into the circulation. Circulating tumor-derived extracellular vesicles (TEV) can be used in the context of serial liquid biopsies for early detection of cancer, for monitoring disease burden in patients, and for assessing recurrence in the post-resection setting. Nonetheless, isolating sufficient TEV by ultracentrifugation-based approaches, in order to enable molecular assessment of EVs cargo, can be an arduous, time-consuming process and is inconsistent in the context of yield and purity among institutions. Herein, we describe a microfluidic platform, which we have named MITEV (Microfluidic Isolation of Tumor-derived Extracellular Vesicles) for the rapid isolation of TEV from the plasma of pancreatic cancer patients. The device, which has 100,000 pillars placed in a zigzag pattern and is coated with antibodies against generic EV surface proteins (anti-CD63, -CD9, and -CD81 antibodies) or the TEV specific anti-Epithelial Cell Adhesion Molecule (EpCAM) antibody, is capable of high-throughput EVs isolation and yields sufficient DNA (total of 2-14 ng from 2-ml plasma) for downstream genomic analysis. Using two independent quantitative platforms, droplet digital polymerase chain reaction (ddPCR) and molecular barcoding using nanoString nCounter (R) technology, we can reliably identify KRAS mutations within isolated TEV of treatment-naive metastatic pancreatic cancer patients. Our study suggests that the MITEV device can be used for point-of-care applications, such as in the context of monitoring residual or recurrent tumor presence in pancreatic cancer patients undergoing therapy.</t>
  </si>
  <si>
    <t>[Kamyabi, Nabiollah; Grande-Allen, K. Jane] Rice Univ, Dept Bioengn, 6566 Main St, Houston, TX 77030 USA; [Kamyabi, Nabiollah; Maitra, Anirban] Univ Texas MD Anderson Canc Ctr, Dept Translat Mol Pathol, Houston, TX 77030 USA; [Kamyabi, Nabiollah; Abbasgholizadeh, Reza; Maitra, Anirban] Univ Texas MD Anderson Canc Ctr, Sheikh Ahmed Pancreat Canc Res Ctr, Houston, TX 77030 USA; [Abbasgholizadeh, Reza] Univ Texas MD Anderson Canc Ctr, Dept Pathol, Houston, TX 77030 USA; [Ardekani, Arezoo] Purdue Univ, Dept Mech Engn, W Lafayette, IN 47907 USA; [Biswal, Sibani L.] Rice Univ, Dept Chem &amp; Biomol Engn, Houston, TX USA</t>
  </si>
  <si>
    <t>Rice University; University of Texas System; UTMD Anderson Cancer Center; University of Texas System; UTMD Anderson Cancer Center; University of Texas System; UTMD Anderson Cancer Center; Purdue University System; Purdue University; Purdue University West Lafayette Campus; Rice University</t>
  </si>
  <si>
    <t>Kamyabi, N (corresponding author), Rice Univ, Dept Bioengn, 6566 Main St, Houston, TX 77030 USA.;Kamyabi, N (corresponding author), Univ Texas MD Anderson Canc Ctr, Dept Translat Mol Pathol, Houston, TX 77030 USA.;Kamyabi, N (corresponding author), Univ Texas MD Anderson Canc Ctr, Sheikh Ahmed Pancreat Canc Res Ctr, Houston, TX 77030 USA.</t>
  </si>
  <si>
    <t>nk44@rice.edu</t>
  </si>
  <si>
    <t>Ardekani, Arezoo M/A-7039-2013</t>
  </si>
  <si>
    <t>Ardekani, Arezoo M/0000-0003-3301-3193</t>
  </si>
  <si>
    <t>1387-2176</t>
  </si>
  <si>
    <t>1572-8781</t>
  </si>
  <si>
    <t>MAR 11</t>
  </si>
  <si>
    <t>10.1007/s10544-020-00483-7</t>
  </si>
  <si>
    <t>Engineering, Biomedical; Nanoscience &amp; Nanotechnology</t>
  </si>
  <si>
    <t>Engineering; Science &amp; Technology - Other Topics</t>
  </si>
  <si>
    <t>WOS:000519158300001</t>
  </si>
  <si>
    <t>Thakur, K; Singh, MS; Feldstein-Davydova, S; Hannes, V; Hershkovitz, D; Tsuriel, S</t>
  </si>
  <si>
    <t>Thakur, Kavita; Singh, Manu Smriti; Feldstein-Davydova, Sara; Hannes, Victoria; Hershkovitz, Dov; Tsuriel, Shlomo</t>
  </si>
  <si>
    <t>Extracellular Vesicle-Derived DNA vs. CfDNA as a Biomarker for the Detection of Colon Cancer</t>
  </si>
  <si>
    <t>liquid biopsy; colon cancer; cfDNA; ctDNA; EV-DNA</t>
  </si>
  <si>
    <t>CIRCULATING DNA; STRANDED-DNA; EXOSOMES; KRAS</t>
  </si>
  <si>
    <t>Liquid biopsy has emerged as a promising non-invasive way to diagnose tumor and monitor its progression. Different types of liquid biopsies have different advantages and limitations. In the present research, we compared the use of two types of liquid biopsy, extracellular vesicle-derived DNA (EV-DNA) and cell-free DNA (cfDNA) for identifying tumor mutations in patients with colon carcinoma. Method: DNA was extracted from the tumor tissue of 33 patients diagnosed with colon carcinoma. Targeted NGS panel, based on the hotspots panel, was used to identify tumor mutations. Pre-surgery serum and plasma were taken from the patients in which mutation was found in the tumor tissue. Extracellular vesicles were isolated from the serum followed by the extraction of EV-DNA. CfDNA was extracted from the plasma. The mutations found in the tumor were used to detect the circulating tumor DNA using ultra-deep sequencing. We compared the sensitivity of mutation detection and allele frequency obtained in EV-DNA and cfDNA. Results: The sensitivity of mutation detection in EV-DNA and cfDNA was 61.90% and 66.67%, respectively. We obtained almost identical sensitivity of mutation detection in EV-DNA and cfDNA in each of the four stages of colon carcinoma. The total DNA concentration and number mutant copies were higher in cfDNA vs. EV-DNA (p value = 0.002 and 0.003, respectively). Conclusion: Both cfDNA and EV-DNA can serve as tumor biomarkers. The use of EV-DNA did not lead to improved sensitivity or better detection of tumor DNA in the circulation.</t>
  </si>
  <si>
    <t>[Thakur, Kavita; Feldstein-Davydova, Sara; Hannes, Victoria; Hershkovitz, Dov; Tsuriel, Shlomo] Tel Aviv Sourasky Med Ctr, Dept Pathol, IL-62431 Tel Aviv, Israel; [Thakur, Kavita; Feldstein-Davydova, Sara; Hershkovitz, Dov] Tel Aviv Univ, Sackler Fac Med, IL-69978 Tel Aviv, Israel; [Singh, Manu Smriti] Tel Aviv Univ, Lab Precis Nano Med, IL-69978 Tel Aviv, Israel; [Singh, Manu Smriti] Tel Aviv Univ, George S Wise Fac Life Sci, Sch Mol Cell Biol &amp; Biotechnol, IL-69978 Tel Aviv, Israel; [Singh, Manu Smriti] Tel Aviv Univ, Iby &amp; Aladar Fleischman Fac Engn, Dept Mat Sci &amp; Engn, IL-69978 Tel Aviv, Israel; [Singh, Manu Smriti] Ctr Nanosci &amp; Nanotechnol, IL-69978 Tel Aviv, Israel; [Singh, Manu Smriti] Tel Aviv Univ, IL-69978 Tel Aviv, Israel; [Singh, Manu Smriti] Tel Aviv Univ, Canc Biol Res Ctr, IL-69978 Tel Aviv, Israel; [Singh, Manu Smriti] Bennett Univ, Sch Engn &amp; Appl Sci, Dept Biotechnol, Tech Zone 2, Greater Noida 201310, India</t>
  </si>
  <si>
    <t>Tel Aviv University; Sackler Faculty of Medicine; Tel Aviv Sourasky Medical Center; Tel Aviv University; Sackler Faculty of Medicine; Tel Aviv University; Tel Aviv University; Tel Aviv University; Tel Aviv University; Tel Aviv University</t>
  </si>
  <si>
    <t>Tsuriel, S (corresponding author), Tel Aviv Sourasky Med Ctr, Dept Pathol, IL-62431 Tel Aviv, Israel.</t>
  </si>
  <si>
    <t>drkavitathakur20@gmail.com; Manu.Singh@bennettedu.in; sarafe@tivmc.gov.il; victoriaha@tivmc.gov.il; dovh@tlvmc.gov.il; shlomots@tivmc.gov.il</t>
  </si>
  <si>
    <t>Hershkovitz, Dov/0000-0002-7954-4486</t>
  </si>
  <si>
    <t>10.3390/genes12081171</t>
  </si>
  <si>
    <t>WOS:000689122500001</t>
  </si>
  <si>
    <t>Zhou, XN; Kurywchak, P; Wolf-Dennen, K; Che, SPY; Sulakhe, D; D'Souza, M; Xie, BQ; Maltsev, N; Gilliam, TC; Wu, CC; McAndrews, KM; LeBleu, VS; McConkey, DJ; Volpert, OV; Pretzsch, SM; Czerniak, BA; Dinney, CP; Kalluri, R</t>
  </si>
  <si>
    <t>Zhou, Xunian; Kurywchak, Paul; Wolf-Dennen, Kerri; Che, Sara P. Y.; Sulakhe, Dinanath; D'Souza, Mark; Xie, Bingqing; Maltsev, Natalia; Gilliam, T. Conrad; Wu, Chia-Chin; McAndrews, Kathleen M.; LeBleu, Valerie S.; McConkey, David J.; Volpert, Olga V.; Pretzsch, Shanna M.; Czerniak, Bogdan A.; Dinney, Colin P.; Kalluri, Raghu</t>
  </si>
  <si>
    <t>Unique somatic variants in DNA from urine exosomes of individuals with bladder cancer</t>
  </si>
  <si>
    <t>MOLECULAR THERAPY-METHODS &amp; CLINICAL DEVELOPMENT</t>
  </si>
  <si>
    <t>HEXAMINOLEVULINATE FLUORESCENCE CYSTOSCOPY; WHITE-LIGHT CYSTOSCOPY; CIRCULATING TUMOR DNA; STRANDED GENOMIC DNA; NUCLEIC-ACIDS; GENETIC-VARIATION; MUTANT KRAS; PHASE-III; FOLLOW-UP; BIOMARKERS</t>
  </si>
  <si>
    <t>Bladder cancer (BC), a heterogeneous disease characterized by high recurrence rates, is diagnosed and monitored by cystoscopy. Accurate clinical staging based on biopsy remains a challenge, and additional, objective diagnostic tools are needed urgently. We used exosomal DNA (exoDNA) as an analyte to examine cancer-associated mutations and compared the diagnostic utility of exoDNA from urine and serum of individuals with BC. In contrast to urine exosomes from healthy individuals, urine exosomes from individuals with BC contained significant amounts of DNA. Whole-exome sequencing of DNA from matched urine and serum exosomes, bladder tumors, and normal tissue (peripheral blood mononuclear cells) identified exonic and 30 UTR variants in frequently mutated genes in BC, detectable in urine exoDNA and matched tumor samples. Further analyses identified somatic variants in driver genes, unique to urine exoDNA, possibly because of the inherent intra-tumoral heterogeneity of BC, which is not fully represented in random small biopsies. Multiple variants were also found in untranslated portions of the genome, such as microRNA (miRNA)-binding regions of the KRAS gene. Gene network analyses revealed that exoDNA is associated with cancer, inflammation, and immunity in BC exosomes. Our findings show utility of exoDNA as an objective, non-invasive strategy to identify novel biomarkers and targets for BC.</t>
  </si>
  <si>
    <t>[Zhou, Xunian; Kurywchak, Paul; Wolf-Dennen, Kerri; Che, Sara P. Y.; McAndrews, Kathleen M.; LeBleu, Valerie S.; Volpert, Olga V.; Kalluri, Raghu] Univ Texas MD Anderson Canc Ctr, Dept Canc Biol, Houston, TX 77030 USA; [Sulakhe, Dinanath; D'Souza, Mark; Xie, Bingqing; Maltsev, Natalia; Gilliam, T. Conrad] Univ Chicago, Dept Human Genet, Chicago, IL 60637 USA; [Wu, Chia-Chin] Univ Texas MD Anderson Canc Ctr, Dept Genom Med, Houston, TX 77030 USA; [LeBleu, Valerie S.] Northwestern Univ, Feinberg Sch Med, Chicago, IL 60611 USA; [McConkey, David J.] Johns Hopkins Greenberg Bladder Canc Inst, Baltimore, MD USA; [Pretzsch, Shanna M.; Dinney, Colin P.] Univ Texas MD Anderson Canc Ctr, Dept Urol, Houston, TX 77030 USA; [Czerniak, Bogdan A.] Univ Texas MD Anderson Canc Ctr, Dept Pathol, Houston, TX 77030 USA; [Kalluri, Raghu] Rice Univ, Sch Bioengn, Houston, TX USA; [Kalluri, Raghu] Baylor Coll Med, Dept Mol &amp; Cellular Biol, Houston, TX 77030 USA</t>
  </si>
  <si>
    <t>University of Texas System; UTMD Anderson Cancer Center; University of Chicago; University of Texas System; UTMD Anderson Cancer Center; Northwestern University; Feinberg School of Medicine; Johns Hopkins University; University of Texas System; UTMD Anderson Cancer Center; University of Texas System; UTMD Anderson Cancer Center; Rice University; Baylor College of Medicine</t>
  </si>
  <si>
    <t>Kalluri, R (corresponding author), Univ Texas MD Anderson Canc Ctr, Dept Canc Biol, Houston, TX 77030 USA.</t>
  </si>
  <si>
    <t>rkalluri@mdanderson.org</t>
  </si>
  <si>
    <t>Wu, Chia-Chin/ABD-5516-2021</t>
  </si>
  <si>
    <t>Wu, Chia-Chin/0000-0002-5208-6016</t>
  </si>
  <si>
    <t>2329-0501</t>
  </si>
  <si>
    <t>SEP 10</t>
  </si>
  <si>
    <t>10.1016/j.omtm.2021.05.010</t>
  </si>
  <si>
    <t>WOS:000695842600031</t>
  </si>
  <si>
    <t>Ruhen, O; Mirzai, B; Clark, ME; Nguyen, B; Salomon, C; Erber, W; Meehan, K</t>
  </si>
  <si>
    <t>Ruhen, Olivia; Mirzai, Bob; Clark, Michael E.; Nguyen, Bella; Salomon, Carlos; Erber, Wendy; Meehan, Katie</t>
  </si>
  <si>
    <t>Comparison of Circulating Tumour DNA and Extracellular Vesicle DNA by Low-Pass Whole-Genome Sequencing Reveals Molecular Drivers of Disease in a Breast Cancer Patient</t>
  </si>
  <si>
    <t>BIOMEDICINES</t>
  </si>
  <si>
    <t>breast cancer; biomarkers; extracellular vesicle DNA; circulating tumour DNA; liquid biopsy</t>
  </si>
  <si>
    <t>CELL-FREE DNA; COPY NUMBER ALTERATIONS; EXOSOMES; IDENTIFICATION; CHEMOTHERAPY; SURVIVAL; REGIONS; PLASMA</t>
  </si>
  <si>
    <t>There is increasing recognition of circulating tumour DNA (ctDNA) as a non-invasive alternative to tumour tissue for the molecular characterisation and monitoring of disease. Recent evidence suggests that cancer-associated changes can also be detected in the DNA contained within extracellular vesicles (EVs). As yet, there has been limited investigation into the relationship between EV DNA and ctDNA, and no studies have examined the EV DNA of breast cancer patients. The aim of this study was to use low-pass whole-genome sequencing to identify copy number variants (CNVs) in serial samples of both ctDNA and EV DNA from a patient with breast cancer. Of the 52 CNVs identified in tumour DNA, 36 (69%) were detected in at least one ctDNA sample and 13 (25%) in at least one EV DNA sample. The number of detectable variants in ctDNA and EV DNA increased over the natural history of the patient's disease, which was associated with progression to cerebral metastases. This case study demonstrates that, while CNVs are detectable in patient EV DNA, ctDNA has greater sensitivity than EV DNA for serial monitoring of breast cancer.</t>
  </si>
  <si>
    <t>[Ruhen, Olivia; Mirzai, Bob; Nguyen, Bella; Erber, Wendy] Univ Western Australia, Sch Biomed Sci, Translat Canc Pathol Lab, Perth, WA 6009, Australia; [Ruhen, Olivia] Inst Canc Res, Sarcoma Mol Pathol Team, Sutton SM2 5NG, Surrey, England; [Mirzai, Bob; Erber, Wendy] PathWest Lab Med, Nedlands, WA 6009, Australia; [Clark, Michael E.] Edith Cowan Univ, Sch Med &amp; Hlth Sci, Melanoma Res Grp, Nedlands, WA 6027, Australia; [Nguyen, Bella] Sir Charles Gairdner Hosp, Dept Med Oncol, Nedlands, WA 6009, Australia; [Salomon, Carlos] Univ Queensland, Royal Brisbane &amp; Womens Hosp, UQ Ctr Clin Res, Exosome Biol Lab,Ctr Clin Diagnost, Brisbane, Qld 4029, Australia; [Salomon, Carlos] Univ Concepcion, Fac Biol Sci, Dept Pharmacol, Concepcion 4030000, Chile; [Meehan, Katie] Chinese Univ Hong Kong, Dept Otorhinolaryngol Head &amp; Neck Surg, Hong Kong 999077, Peoples R China</t>
  </si>
  <si>
    <t>University of Western Australia; University of London; Institute of Cancer Research - UK; University of Western Australia; Edith Cowan University; University of Western Australia; Royal Brisbane &amp; Women's Hospital; University of Queensland; Universidad de Concepcion; Chinese University of Hong Kong</t>
  </si>
  <si>
    <t>Meehan, K (corresponding author), Chinese Univ Hong Kong, Dept Otorhinolaryngol Head &amp; Neck Surg, Hong Kong 999077, Peoples R China.</t>
  </si>
  <si>
    <t>olivia.ruhen@icr.ac.uk; bob.mirzai@uwa.edu.au; m.clark@ecu.edu.au; bella.nguyen@research.uwa.edu.au; c.salomongallo@uq.edu.au; wendy.erber@uwa.edu.au; katiemeehan@ent.cuhk.edu.hk</t>
  </si>
  <si>
    <t>; Meehan, Katie/H-5431-2014; Salomon, Carlos/L-2167-2013</t>
  </si>
  <si>
    <t>Ruhen, Olivia/0000-0002-4961-9352; Meehan, Katie/0000-0002-9179-4592; Clark, Michael/0000-0002-9748-5221; Salomon, Carlos/0000-0003-4474-0046; Erber, Wendy/0000-0002-1028-9376</t>
  </si>
  <si>
    <t>2227-9059</t>
  </si>
  <si>
    <t>10.3390/biomedicines9010014</t>
  </si>
  <si>
    <t>Biochemistry &amp; Molecular Biology; Medicine, Research &amp; Experimental; Pharmacology &amp; Pharmacy</t>
  </si>
  <si>
    <t>Biochemistry &amp; Molecular Biology; Research &amp; Experimental Medicine; Pharmacology &amp; Pharmacy</t>
  </si>
  <si>
    <t>WOS:000609829400001</t>
  </si>
  <si>
    <t>Drees, EEE; Roemer, MGM; Groenewegen, NJ; Perez-Boza, J; van Eijndhoven, MAJ; Prins, LI; Verkuijlen, SAWM; Tran, XM; Driessen, J; Zwezerijnen, GJC; Stathi, P; Mol, K; Karregat, JJJP; Kalantidou, A; Valles-Marti, A; Molenaar, TJ; Aparicio-Puerta, E; van Dijk, E; Ylstra, B; Groothuis-Oudshoorn, CGM; Hackenberg, M; de Jong, D; Zijlstra, JM; Pegtel, DM</t>
  </si>
  <si>
    <t>Drees, Esther E. E.; Roemer, Margaretha G. M.; Groenewegen, Nils J.; Perez-Boza, Jennifer; van Eijndhoven, Monique A. J.; Prins, Leah I.; Verkuijlen, Sandra A. W. M.; Tran, Xuan-Mai; Driessen, Julia; Zwezerijnen, G. J. C.; Stathi, Phylicia; Mol, Kevin; Karregat, Joey J. J. P.; Kalantidou, Aikaterini; Valles-Marti, Andrea; Molenaar, T. J.; Aparicio-Puerta, Ernesto; van Dijk, Erik; Ylstra, Bauke; Groothuis-Oudshoorn, Catharina G. M.; Hackenberg, Michael; de Jong, Daphne; Zijlstra, Josee M.; Pegtel, D. Michiel</t>
  </si>
  <si>
    <t>Extracellular vesicle miRNA predict FDG-PET status in patients with classical Hodgkin Lymphoma</t>
  </si>
  <si>
    <t>blood; extracellular vesicles; Hodgkin lymphoma; liquid biopsy; miRNA; response monitoring</t>
  </si>
  <si>
    <t>DISEASE RESPONSE BIOMARKERS; SERUM TARC LEVELS; MICROENVIRONMENT; GUIDELINES; MICRORNA; CANCERS; CELLS; DNA</t>
  </si>
  <si>
    <t>Minimally-invasive tools to assess tumour presence and burden may improve clinical management. FDG-PET (metabolic) imaging is the current gold standard for interim response assessment in patients with classical Hodgkin Lymphoma (cHL), but this technique cannot be repeated frequently. Here we show that microRNAs (miRNA) associated with tumour-secreted extracellular vesicles (EVs) in the circulation of cHL patients may improve response assessment. Small RNA sequencing and qRT-PCR reveal that the relative abundance of cHL-expressed miRNAs, miR-127-3p, miR-155-5p, miR-21-5p, miR-24-3p and let-7a-5p is up to hundred-fold increased in plasma EVs of cHL patients pre-treatment when compared to complete metabolic responders (CMR). Notably, in partial responders (PR) or treatment-refractory cases (n = 10) the EV-miRNA levels remain elevated. In comparison, tumour specific copy number variations (CNV) were detected in cell-free DNA of 8 out of 10 newly diagnosed cHL patients but not in patients with PR. Combining EV-miR-127-3p and/or EV-let-7a-5p levels, with serum TARC (a validated protein cHL biomarker), increases the accuracy for predicting PET-status (n = 129) to an area under the curve of 0.93 (CI: 0.87-0.99), 93.5% sensitivity, 83.8/85.0% specificity and a negative predictive value of 96%. Thus the level of tumour-associated miRNAs in plasma EVs is predictive of metabolic tumour activity in cHL patients. Our findings suggest that plasma EV-miRNA are useful for detection of small residual lesions and may be applied as serial response prediction tool.</t>
  </si>
  <si>
    <t>[Drees, Esther E. E.; Roemer, Margaretha G. M.; Groenewegen, Nils J.; Perez-Boza, Jennifer; van Eijndhoven, Monique A. J.; Prins, Leah I.; Verkuijlen, Sandra A. W. M.; Tran, Xuan-Mai; Stathi, Phylicia; Mol, Kevin; Karregat, Joey J. J. P.; Kalantidou, Aikaterini; Valles-Marti, Andrea; Molenaar, T. J.; van Dijk, Erik; Ylstra, Bauke; de Jong, Daphne; Pegtel, D. Michiel] Vrije Univ Amsterdam, Amsterdam UMC, Canc Ctr Amsterdam, Dept Pathol, Amsterdam, Netherlands; [Groenewegen, Nils J.; Hackenberg, Michael] ExBiome BV, Amsterdam, Netherlands; [Driessen, Julia] Univ Amsterdam, Canc Ctr Amsterdam, Amsterdam UMC, Dept Hematol, Amsterdam, Netherlands; [Zwezerijnen, G. J. C.] Vrije Univ Amsterdam, Amsterdam UMC, Canc Ctr Amsterdam, Dept Radiol &amp; Nucl Med, Amsterdam, Netherlands; [Aparicio-Puerta, Ernesto; Hackenberg, Michael] Univ Granada, Dept Genet Computat Epigenom &amp; Bioinformat, Granada, Spain; [Groothuis-Oudshoorn, Catharina G. M.] Univ Twente, Tech Med Ctr, Dept Hlth Technol &amp; Serv Res, Enschede, Netherlands; [Zijlstra, Josee M.] Vrije Univ Amsterdam, Amsterdam UMC, Canc Ctr Amsterdam, Dept Hematol, Amsterdam, Netherlands</t>
  </si>
  <si>
    <t>University of Amsterdam; Vrije Universiteit Amsterdam; University of Amsterdam; Vrije Universiteit Amsterdam; University of Amsterdam; Vrije Universiteit Amsterdam; University of Granada; University of Twente; University of Amsterdam; Vrije Universiteit Amsterdam</t>
  </si>
  <si>
    <t>Pegtel, DM (corresponding author), Vrije Univ Amsterdam Med Ctr, Amsterdam UMC, Canc Ctr Amsterdam, Dept Pathol, Boelelaan 1117, Amsterdam, Netherlands.</t>
  </si>
  <si>
    <t>d.pegtel@amsterdamumc.nl</t>
  </si>
  <si>
    <t>Pegtel, Dirk Michiel/ABD-5481-2021; Hackenberg, Michael/X-9662-2018; Aparicio-Puerta, Ernesto/AGS-5367-2022; Ylstra, Bauke/D-2906-2012</t>
  </si>
  <si>
    <t>Pegtel, Dirk Michiel/0000-0002-7357-4406; Hackenberg, Michael/0000-0003-2248-3114; Aparicio-Puerta, Ernesto/0000-0002-3470-1425; Perez Boza, Jennifer/0000-0003-3843-494X; van Dijk, Erik/0000-0002-6272-2039; Ylstra, Bauke/0000-0001-9479-3010; Groothuis-Oudshoorn, Catharina/0000-0002-4875-5379; Roemer, Margaretha Gesina Maria/0000-0003-0220-3496; Drees, Esther/0000-0003-3551-0038</t>
  </si>
  <si>
    <t>e12121</t>
  </si>
  <si>
    <t>10.1002/jev2.12121</t>
  </si>
  <si>
    <t>WOS:000674092100001</t>
  </si>
  <si>
    <t>Sinha, S; Mannerstrom, B; Seppanen-Kaijansinkko, R; Kaur, S</t>
  </si>
  <si>
    <t>Sinha, Snehadri; Mannerstrom, Bettina; Seppanen-Kaijansinkko, Riitta; Kaur, Sippy</t>
  </si>
  <si>
    <t>LINE-1 Methylation Analysis in Mesenchymal Stem Cells Treated with Osteosarcoma-Derived Extracellular Vesicles</t>
  </si>
  <si>
    <t>Genetics; Issue 156; DNA methylation; LINE-1; epigenetics; extracellular vesicles; EV-depleted fetal bovine serum; osteosarcoma</t>
  </si>
  <si>
    <t>CANCER; HYPOMETHYLATION; MICROVESICLES; MEDIATORS</t>
  </si>
  <si>
    <t>Methylation-specific probe amplification (MSPA) is a simple and robust technique that can be used to detect relative differences in methylation levels of DNA samples. It is resourceful, requires small amounts of DNA, and takes around 4-5 h of hands-on work. In the presented technique, DNA samples are first denatured then hybridized to probes that target DNA at either methylated or reference sites as a control. Hybridized DNA is separated into parallel reactions, one undergoing only ligation and the other undergoing ligation followed by Hhal-mediated digestion at unmethylated GCGC sequences. The resultant DNA fragments are amplified by PCR and separated by capillary electrophoresis. Methylated GCGC sites are not digested by Hhal and produce peak signals, while unmethylated GCGC sites are digested and no peak signals are generated. Comparing the control-normalized peaks of digested and undigested versions of each sample provides the methylation dosage ratio of a DNA sample. Here, MSPA is used to detect the effects of osteosarcoma-derived extracellular vesicles (EVs) on the methylation status of long interspersed nuclear element-1 (LINE-1) in mesenchymal stem cells. LINE-1s are repetitive DNA elements that typically undergo hypomethylation in cancer and, in this capacity, may serve as a biomarker. Ultracentrifugation is also used as a cost-effective method to separate extracellular vesicles from biological fluids (i.e., when preparing EV-depleted fetal bovine serum [FBS] and isolating EVs from osteosarcoma conditioned media [differential centrifugation]). For methylation analysis, custom LINE-1 probes are designed to target three methylation sites in the LINE-1 promoter sequence and seven control sites. This protocol demonstrates the use of MSPA for LINE-1 methylation analysis and describes the preparation of EV-depleted FBS by ultracentrifugation.</t>
  </si>
  <si>
    <t>[Sinha, Snehadri; Mannerstrom, Bettina; Seppanen-Kaijansinkko, Riitta; Kaur, Sippy] Univ Helsinki, Dept Oral &amp; Maxillofacial Dis, Helsinki, Finland; [Sinha, Snehadri; Mannerstrom, Bettina; Seppanen-Kaijansinkko, Riitta; Kaur, Sippy] Helsinki Univ Hosp, Helsinki, Finland</t>
  </si>
  <si>
    <t>University of Helsinki; University of Helsinki; Helsinki University Central Hospital</t>
  </si>
  <si>
    <t>Sinha, S (corresponding author), Univ Helsinki, Dept Oral &amp; Maxillofacial Dis, Helsinki, Finland.;Sinha, S (corresponding author), Helsinki Univ Hosp, Helsinki, Finland.</t>
  </si>
  <si>
    <t>snehadri.sinha@helsinki.fi</t>
  </si>
  <si>
    <t>Seppänen-Kaijasinkko, Riitta/AAE-1476-2021; Mannerström, Bettina/AAL-4214-2020</t>
  </si>
  <si>
    <t>Seppanen-Kaijansinkko, Riitta/0000-0001-5348-7121; Sinha, Snehadri/0000-0002-8080-5305</t>
  </si>
  <si>
    <t>e60705</t>
  </si>
  <si>
    <t>10.3791/60705</t>
  </si>
  <si>
    <t>WOS:000518403300063</t>
  </si>
  <si>
    <t>Chennakrishnaiah, S; Meehan, B; D'Asti, E; Montermini, L; Lee, TH; Karatzas, N; Buchanan, M; Tawil, N; Choi, D; Divangahi, M; Basik, M; Rak, J</t>
  </si>
  <si>
    <t>Chennakrishnaiah, S.; Meehan, B.; D'Asti, E.; Montermini, L.; Lee, T-H.; Karatzas, N.; Buchanan, M.; Tawil, N.; Choi, D.; Divangahi, M.; Basik, M.; Rak, J.</t>
  </si>
  <si>
    <t>Leukocytes as a reservoir of circulating oncogenic DNA and regulatory targets of tumor-derived extracellular vesicles</t>
  </si>
  <si>
    <t>JOURNAL OF THROMBOSIS AND HAEMOSTASIS</t>
  </si>
  <si>
    <t>extracellular vesicles; neutrophils; nucleosomes; oncogenes; thrombosis</t>
  </si>
  <si>
    <t>TISSUE FACTOR EXPRESSION; DOUBLE-STRANDED DNA; VENOUS THROMBOSIS; CANCER-CELLS; COLORECTAL-CANCER; PANCREATIC-CANCER; LIQUID BIOPSIES; H-RAS; MICROPARTICLES; EXOSOMES</t>
  </si>
  <si>
    <t>Background Tumor-derived extracellular vesicles (EVs) and free nucleosomes (NSs) carry into the circulation a wealth of cancer-specific, bioactive and poorly understood molecular cargoes, including genomic DNA (gDNA). Objective Here we investigated the distribution of extracellular oncogenic gDNA sequences (HRAS and HER2) in the circulation of tumor-bearing mice. Methods and Results Surprisingly, circulating leukocytes (WBCs), especially neutrophils, contained the highest levels of mutant gDNA, which exceeded the amount of this material recovered from soluble fractions of plasma, circulating EVs, platelets, red blood cells (RBCs) and peripheral organs, as quantified by digital droplet PCR (ddPCR). Tumor excision resulted in disappearance of the WBC-associated gDNA signal within 2-9 days, which is in line with the expected half-life of these cells. EVs and nucleosomes were essential for the uptake of tumor-derived extracellular DNA by neutrophil-like cells and impacted their phenotype. Indeed, the exposure of granulocytic HL-60 cells to EVs from HRAS-driven cancer cells resulted in a selective increase in tissue factor (TF) procoagulant activity and interleukin 8 (IL-8) production. The levels of circulating thrombin-antithrombin complexes (TAT) were markedly elevated in mice harboring HRAS-driven xenografts. Conclusions Myeloid cells may represent a hitherto unrecognized reservoir of cancer-derived, EV/NS-associated oncogenic gDNA in the circulation, and a possible novel platform for liquid biopsy in cancer. In addition, uptake of this material alters the phenotype of myeloid cells, induces procoagulant and proinflammatory activity and may contribute to systemic effects associated with cancer.</t>
  </si>
  <si>
    <t>[Chennakrishnaiah, S.; Meehan, B.; D'Asti, E.; Montermini, L.; Lee, T-H.; Karatzas, N.; Tawil, N.; Choi, D.; Rak, J.] McGill Univ, Hlth Ctr, Res Inst, Glen Site, Montreal, PQ, Canada; [Buchanan, M.; Basik, M.] Jewish Gen Hosp, Lady Davis Inst, Dept Oncol &amp; Surg, Montreal, PQ, Canada; [Divangahi, M.] McGill Univ Hlth Ctr, Dept Microbiol &amp; Immunol, Dept Pathol, Dept Med,McGill Int TB Ctr,Meakins Christie Labs, Montreal, PQ, Canada</t>
  </si>
  <si>
    <t>McGill University; Lady Davis Institute; McGill University; McGill University</t>
  </si>
  <si>
    <t>Rak, J (corresponding author), McGill Univ, Dept Pediat, 4060 Ste Catherine West, Montreal, PQ H3Z 2Z3, Canada.</t>
  </si>
  <si>
    <t>janusz.rak@mcgill.ca</t>
  </si>
  <si>
    <t>1538-7933</t>
  </si>
  <si>
    <t>1538-7836</t>
  </si>
  <si>
    <t>10.1111/jth.14222</t>
  </si>
  <si>
    <t>Hematology; Peripheral Vascular Disease</t>
  </si>
  <si>
    <t>Hematology; Cardiovascular System &amp; Cardiology</t>
  </si>
  <si>
    <t>WOS:000443571100015</t>
  </si>
  <si>
    <t>Mensa, E; Guescini, M; Giuliani, A; Bacalini, MG; Ramini, D; Corleone, G; Ferracin, M; Fulgenzi, G; Graciotti, L; Prattichizzo, F; Sorci, L; Battistelli, M; Monsurro, V; Bonfigli, AR; Cardelli, M; Recchioni, R; Marcheselli, F; Latini, S; Maggio, S; Fanelli, M; Amatori, S; Storci, G; Ceriello, A; Stocchi, V; De Luca, M; Magnani, L; Rippo, MR; Procopio, AD; Sala, C; Budimir, I; Bassi, C; Negrini, M; Garagnani, P; Franceschi, C; Sabbatinelli, J; Bonafe, M; Olivieri, F</t>
  </si>
  <si>
    <t>Mensa, Emanuela; Guescini, Michele; Giuliani, Angelica; Bacalini, Maria Giulia; Ramini, Deborah; Corleone, Giacomo; Ferracin, Manuela; Fulgenzi, Gianluca; Graciotti, Laura; Prattichizzo, Francesco; Sorci, Leonardo; Battistelli, Michela; Monsurro, Vladia; Bonfigli, Anna Rita; Cardelli, Maurizio; Recchioni, Rina; Marcheselli, Fiorella; Latini, Silvia; Maggio, Serena; Fanelli, Mirco; Amatori, Stefano; Storci, Gianluca; Ceriello, Antonio; Stocchi, Vilberto; De Luca, Maria; Magnani, Luca; Rippo, Maria Rita; Procopio, Antonio Domenico; Sala, Claudia; Budimir, Iva; Bassi, Cristian; Negrini, Massimo; Garagnani, Paolo; Franceschi, Claudio; Sabbatinelli, Jacopo; Bonafe, Massimiliano; Olivieri, Fabiola</t>
  </si>
  <si>
    <t>Small extracellular vesicles deliver miR-21 and miR-217 as pro-senescence effectors to endothelial cells</t>
  </si>
  <si>
    <t>Cellular senescence; microRNAs; DNMT1; SIRT1; extracellular vesicles</t>
  </si>
  <si>
    <t>CELLULAR SENESCENCE; DNA; MICRORNAS; EXOSOMES; CANCER; PERSPECTIVE; MECHANISMS; EXPRESSION; CONTRIBUTE; MARKER</t>
  </si>
  <si>
    <t>The role of epigenetics in endothelial cell senescence is a cutting-edge topic in ageing research. However, little is known of the relative contribution to pro-senescence signal propagation provided by microRNAs shuttled by extracellular vesicles (EVs) released from senescent cells. Analysis of microRNA and DNA methylation profiles in non-senescent (control) and senescent (SEN) human umbilical vein endothelial cells (HUVECs), and microRNA profiling of their cognate small EVs (sEVs) and large EVs demonstrated that SEN cells released a significantly greater sEV number than control cells. sEVs were enriched in miR-21-5p and miR-217, which target DNMT1 and SIRT1. Treatment of control cells with SEN sEVs induced a miR-21/miR-217-related impairment of DNMT1-SIRT1 expression, the reduction of proliferation markers, the acquisition of a senescent phenotype and a partial demethylation of the locus encoding for miR-21. MicroRNA profiling of sEVs from plasma of healthy subjects aged 40-100 years showed an inverse U-shaped age-related trend for miR-21-5p, consistent with senescence-associated biomarker profiles. Our findings suggest that miR-21-5p/miR-217 carried by SEN sEVs spread pro-senescence signals, affecting DNA methylation and cell replication.</t>
  </si>
  <si>
    <t>[Mensa, Emanuela; Giuliani, Angelica; Ramini, Deborah; Fulgenzi, Gianluca; Graciotti, Laura; Latini, Silvia; Rippo, Maria Rita; Procopio, Antonio Domenico; Sabbatinelli, Jacopo; Olivieri, Fabiola] Univ Politecn Marche, Dept Clin &amp; Mol Sci, Via Tronto 10-A, Ancona, Italy; [Guescini, Michele; Battistelli, Michela; Maggio, Serena; Stocchi, Vilberto] Univ Urbino Carlo Bo, Dept Biomol Sci, Urbino, Italy; [Bacalini, Maria Giulia; Franceschi, Claudio] IRCCS Ist Sci Neurol Bologna, Bologna, Italy; [Corleone, Giacomo; Magnani, Luca] Imperial Coll London, Dept Surg &amp; Canc, London, England; [Ferracin, Manuela; Storci, Gianluca; Garagnani, Paolo; Bonafe, Massimiliano] Univ Bologna, Dept Expt Diagnost &amp; Specialty Med, Bologna, Italy; [Prattichizzo, Francesco; Ceriello, Antonio] IRCCS MultiMed, Milan, Italy; [Sorci, Leonardo] Univ Politecn Marche, Dept Mat Environm Sci &amp; Urban Planning, Ancona, Italy; [Monsurro, Vladia] Univ Verona, Dept Med, Verona, Italy; [Bonfigli, Anna Rita] IRCCS INRCA, Sci Direct, Ancona, Italy; [Cardelli, Maurizio] IRCCS INRCA, Adv Technol Ctr Aging Res, Sci Technol Area, Ancona, Italy; [Recchioni, Rina; Marcheselli, Fiorella; Procopio, Antonio Domenico; Olivieri, Fabiola] IRCCS INRCA, Ctr Clin Pathol &amp; Innovat Therapy, Ancona, Italy; [Fanelli, Mirco; Amatori, Stefano] Univ Urbino Carlo Bo, Dept Biomol Sci, Mol Pathol Lab Paola, Fano, Italy; [De Luca, Maria] Univ Alabama Birmingham, Dept Nutr Sci, Birmingham, AL 35294 USA; [Sala, Claudia; Budimir, Iva] Univ Bologna, Dept Phys &amp; Astron, Bologna, Italy; [Bassi, Cristian; Negrini, Massimo] Univ Ferrara, Dept Morphol Surg &amp; Expt Med, Tecnopolo, Ferrara, Italy; [Bassi, Cristian; Negrini, Massimo] Univ Ferrara, Lab Technol Adv Therapies, Tecnopolo, Ferrara, Italy; [Garagnani, Paolo] Karolinska Inst, Dept Lab Med, Clin Chem, Huddinge Univ Hosp, Stockholm, Sweden; [Garagnani, Paolo] Personal Genom Srl, Verona, Italy; [Franceschi, Claudio] Lobachevsky State Univ Nizhny Novgorod, Nizhnii Novgorod, Russia</t>
  </si>
  <si>
    <t>Marche Polytechnic University; University of Urbino; IRCCS Istituto delle Scienze Neurologiche di Bologna (ISNB); Imperial College London; University of Bologna; IRCCS Multimedica; Marche Polytechnic University; University of Verona; IRCCS INRCA; IRCCS INRCA; IRCCS INRCA; University of Urbino; University of Alabama System; University of Alabama Birmingham; University of Bologna; University of Ferrara; University of Ferrara; Karolinska Institutet; Lobachevsky State University of Nizhni Novgorod</t>
  </si>
  <si>
    <t>Sabbatinelli, J (corresponding author), Univ Politecn Marche, Dept Clin &amp; Mol Sci, Via Tronto 10-A, Ancona, Italy.</t>
  </si>
  <si>
    <t>j.sabbatinelli@pm.univpm.it</t>
  </si>
  <si>
    <t>Procopio, Antonio Domenico/AAB-2451-2021; Battistelli, Michela/AAN-1138-2021; Cardelli, Maurizio/I-5505-2014; Olivieri, Fabiola/K-6465-2016; Giuliani, Angelica/AAB-9024-2019; Prattichizzo, Francesco/J-3046-2018; Sabbatinelli, Jacopo/U-1851-2018; Ramini, Deborah/AAD-2603-2022; Guescini, Michele/L-1297-2019; SORCI, LEONARDO/AAD-7395-2019; Recchioni, Rina/ABH-7802-2020; Corleone, Giacomo/ABH-6432-2020; NEGRINI, Massimo/J-2377-2016; Ferracin, Manuela/K-2097-2016</t>
  </si>
  <si>
    <t>Procopio, Antonio Domenico/0000-0001-6897-8724; Cardelli, Maurizio/0000-0002-4480-2473; Olivieri, Fabiola/0000-0002-9606-1144; Prattichizzo, Francesco/0000-0002-2959-2658; Sabbatinelli, Jacopo/0000-0001-9947-6778; Guescini, Michele/0000-0001-9372-7038; SORCI, LEONARDO/0000-0002-4356-8873; Recchioni, Rina/0000-0002-7596-3077; Corleone, Giacomo/0000-0002-6170-9780; Marcheselli, Fiorella/0000-0003-1188-1651; RIPPO, Maria Rita/0000-0003-3024-3495; STORCI, GIANLUCA/0000-0001-5145-3091; Amatori, Stefano/0000-0003-3988-3480; Graciotti, Laura/0000-0002-1874-5217; Fulgenzi, Gianluca/0000-0003-2646-7728; NEGRINI, Massimo/0000-0002-0007-1920; Ferracin, Manuela/0000-0002-1595-6887; Giuliani, Angelica/0000-0002-8477-8519; Ramini, Deborah/0000-0001-8925-8195</t>
  </si>
  <si>
    <t>10.1080/20013078.2020.1725285</t>
  </si>
  <si>
    <t>WOS:000546688100001</t>
  </si>
  <si>
    <t>Fernando, MR; Jiang, C; Krzyzanowski, GD; Ryan, WL</t>
  </si>
  <si>
    <t>Fernando, M. Rohan; Jiang, Chao; Krzyzanowski, Gary D.; Ryan, Wayne L.</t>
  </si>
  <si>
    <t>New evidence that a large proportion of human blood plasma cell-free DNA is localized in exosomes</t>
  </si>
  <si>
    <t>VESICLES</t>
  </si>
  <si>
    <t>Cell-free DNA (cfDNA) in blood is used as a source of genetic material for noninvasive prenatal and cancer diagnostic assays in clinical practice. Recently we have started a project for new biomarker discovery with a view to developing new noninvasive diagnostic assays. While reviewing literature, it was found that exosomes may be a rich source of biomarkers, because exosomes play an important role in human health and disease. While characterizing exosomes found in human blood plasma, we observed the presence of cfDNA in plasma exosomes. Plasma was obtained from blood drawn into K3EDTA tubes. Exosomes were isolated from cell-free plasma using a commercially available kit. Sizing and enumeration of exosomes were done using electron microscopy and NanoSight particle counter. NanoSight and confocal microscopy was used to demonstrate the association between dsDNA and exosomes. DNA extracted from plasma and exosomes was measured by a fluorometric method and a droplet digital PCR (ddPCR) method. Size of extracellular vesicles isolated from plasma was heterogeneous and showed a mean value of 92.6 nm and a mode 39.7 nm. A large proportion of extracellular vesicles isolated from plasma were identified as exosomes using a fluorescence probe specific for exosomes and three protein markers, Hsp70, CD9 and CD63, that are commonly used to identify exosome fraction. Fluorescence dye that stain dsDNA showed the association between exosomes and dsDNA. Plasma cfDNA concentration analysis showed more than 93% of amplifiable cfDNA in plasma is located in plasma exosomes. Storage of a blood sample showed significant increases in exosome count and exosome DNA concentration. This study provide evidence that a large proportion of plasma cfDNA is localized in exosomes. Exosome release from cells is a metabolic energy dependent process, thus suggesting active release of cfDNA from cells as a source of cfDNA in plasma.</t>
  </si>
  <si>
    <t>[Fernando, M. Rohan; Jiang, Chao; Krzyzanowski, Gary D.] Univ Nebraska, Med Ctr, Dept Obstet &amp; Gynecol, Omaha, NE 68182 USA; [Fernando, M. Rohan; Krzyzanowski, Gary D.; Ryan, Wayne L.] CFGenome, Dept Res &amp; Dev, Omaha, NE 68130 USA</t>
  </si>
  <si>
    <t>University of Nebraska System; University of Nebraska Medical Center</t>
  </si>
  <si>
    <t>Fernando, MR (corresponding author), Univ Nebraska, Med Ctr, Dept Obstet &amp; Gynecol, Omaha, NE 68182 USA.;Fernando, MR (corresponding author), CFGenome, Dept Res &amp; Dev, Omaha, NE 68130 USA.</t>
  </si>
  <si>
    <t>mrohan.fernando@unmc.edu</t>
  </si>
  <si>
    <t>AUG 29</t>
  </si>
  <si>
    <t>e0183915</t>
  </si>
  <si>
    <t>10.1371/journal.pone.0183915</t>
  </si>
  <si>
    <t>WOS:000408544200041</t>
  </si>
  <si>
    <t>Bao, SQ; Hu, T; Liu, JQ; Su, JZ; Sun, J; Ming, Y; Li, JX; Wu, N; Chen, HY; Zhou, M</t>
  </si>
  <si>
    <t>Bao, Siqi; Hu, Ting; Liu, Jiaqi; Su, Jianzhong; Sun, Jie; Ming, Yue; Li, Jiaxin; Wu, Nan; Chen, Hongyan; Zhou, Meng</t>
  </si>
  <si>
    <t>Genomic instability-derived plasma extracellular vesicle-microRNA signature as a minimally invasive predictor of risk and unfavorable prognosis in breast cancer</t>
  </si>
  <si>
    <t>JOURNAL OF NANOBIOTECHNOLOGY</t>
  </si>
  <si>
    <t>Breast cancer; Genomic instability; Extracellular vesicle; Exosomes; microRNA</t>
  </si>
  <si>
    <t>BIOGENESIS; TARGETS; RNA; DNA; CHECKPOINT; EXPRESSION; PATHWAYS; MARKERS; CELLS; MIRNA</t>
  </si>
  <si>
    <t>Background: Breast cancer (BC) is the most frequently diagnosed cancer and the leading cause of cancer-associated deaths in women. Recent studies have indicated that microRNA (miRNA) regulation in genomic instability (GI) is associated with disease risk and clinical outcome. Herein, we aimed to identify the GI-derived miRNA signature in extracellular vesicles (EVs) as a minimally invasive biomarker for early diagnosis and prognostic risk stratification. Experimental design: Integrative analysis of miRNA expression and somatic mutation profiles was performed to identify GI-associated miRNAs. Then, we constructed a discovery and validation study with multicenter prospective cohorts. The GI-derived miRNA signature (miGISig) was developed in the TCGA discovery cohort (n = 261), and was subsequently independently validated in internal TCGA validation (n = 261) and GSE22220 (n = 210) cohorts for prognosis prediction, and in GSE73002 (n = 3966), GSE41922 (n = 54), and in-house clinical exosome (n = 30) cohorts for diagnostic performance. Results: We identified a GI-derived three miRNA signature (MIR421, MIR128-1 and MIR128-2) in the serum extracellular vesicles of BC patients, which was significantly associated with poor prognosis in all the cohorts tested and remained as an independent prognostic factor using multivariate analyses. When integrated with the clinical characteristics, the composite miRNA-clinical prognostic indicator showed improved prognostic performance. The miGISig also showed high accuracy in differentiating BC from healthy controls with the area under the receiver operating characteristics curve (ROC) with 0.915, 0.794 and 0.772 in GSE73002, GSE41922 and TCGA cohorts, respectively. Furthermore, circulating EVs from BC patients in the in-house cohort harbored elevated levels of miGISig, with effective diagnostic accuracy. Conclusions: We report a novel GI-derived three miRNA signature in EVs, as an excellent minimally invasive biomarker for the early diagnosis and unfavorable prognosis in BC.</t>
  </si>
  <si>
    <t>[Bao, Siqi; Su, Jianzhong; Sun, Jie; Zhou, Meng] Wenzhou Med Univ, Sch Ophthalmol &amp; Optometry, Sch Biomed Engn, Wenzhou 325027, Peoples R China; [Bao, Siqi; Su, Jianzhong; Sun, Jie; Zhou, Meng] Wenzhou Med Univ, Eye Hosp, Wenzhou 325027, Peoples R China; [Hu, Ting; Chen, Hongyan] Chinese Acad Med Sci &amp; Peking Union Med Coll, Natl Canc Ctr, State Key Lab Mol Oncol, Natl Clin Res Ctr Canc,Canc Hosp, Beijing 100021, Peoples R China; [Liu, Jiaqi; Li, Jiaxin] Chinese Acad Med Sci &amp; Peking Union Med Coll, Natl Canc Ctr, Dept Breast Surg Oncol, Natl Clin Res Ctr Canc,Canc Hosp, Beijing 100021, Peoples R China; [Ming, Yue] Chinese Acad Med Sci &amp; Peking Union Med Coll, Natl Canc Ctr, Pet CT Ctr, Canc Hosp, Beijing 100021, Peoples R China; [Wu, Nan] Peking Union Med Coll &amp; Chinese Acad Med Sci, All Peking Union Med Coll Hosp, Dept Orthoped Surg, Beijing Key Lab Genet Res Skeletal Deform, Beijing 100730, Peoples R China; [Wu, Nan] Peking Union Med Coll &amp; Chinese Acad Med Sci, All Peking Union Med Coll Hosp, Key Lab Big Data Spinal Deform, State Key Lab Complex Severe &amp; Rare Dis, Beijing 100730, Peoples R China</t>
  </si>
  <si>
    <t>Wenzhou Medical University; Wenzhou Medical University; Chinese Academy of Medical Sciences - Peking Union Medical College; Cancer Institute &amp; Hospital - CAMS; Peking Union Medical College; Chinese Academy of Medical Sciences - Peking Union Medical College; Cancer Institute &amp; Hospital - CAMS; Peking Union Medical College; Chinese Academy of Medical Sciences - Peking Union Medical College; Cancer Institute &amp; Hospital - CAMS; Peking Union Medical College; Chinese Academy of Medical Sciences - Peking Union Medical College; Peking Union Medical College; Chinese Academy of Medical Sciences - Peking Union Medical College; Peking Union Medical College</t>
  </si>
  <si>
    <t>Zhou, M (corresponding author), Wenzhou Med Univ, Sch Ophthalmol &amp; Optometry, Sch Biomed Engn, Wenzhou 325027, Peoples R China.;Zhou, M (corresponding author), Wenzhou Med Univ, Eye Hosp, Wenzhou 325027, Peoples R China.;Chen, HY (corresponding author), Chinese Acad Med Sci &amp; Peking Union Med Coll, Natl Canc Ctr, State Key Lab Mol Oncol, Natl Clin Res Ctr Canc,Canc Hosp, Beijing 100021, Peoples R China.;Wu, N (corresponding author), Peking Union Med Coll &amp; Chinese Acad Med Sci, All Peking Union Med Coll Hosp, Dept Orthoped Surg, Beijing Key Lab Genet Res Skeletal Deform, Beijing 100730, Peoples R China.;Wu, N (corresponding author), Peking Union Med Coll &amp; Chinese Acad Med Sci, All Peking Union Med Coll Hosp, Key Lab Big Data Spinal Deform, State Key Lab Complex Severe &amp; Rare Dis, Beijing 100730, Peoples R China.</t>
  </si>
  <si>
    <t>dr.wunan@pumch.cn; chenhongyan@cicams.ac.cn; zhoumeng@wmu.edu.cn</t>
  </si>
  <si>
    <t>Zhou, Meng/G-7674-2011</t>
  </si>
  <si>
    <t>Zhou, Meng/0000-0001-9987-9024</t>
  </si>
  <si>
    <t>1477-3155</t>
  </si>
  <si>
    <t>JAN 12</t>
  </si>
  <si>
    <t>10.1186/s12951-020-00767-3</t>
  </si>
  <si>
    <t>Biotechnology &amp; Applied Microbiology; Nanoscience &amp; Nanotechnology</t>
  </si>
  <si>
    <t>Biotechnology &amp; Applied Microbiology; Science &amp; Technology - Other Topics</t>
  </si>
  <si>
    <t>WOS:000607396600001</t>
  </si>
  <si>
    <t>Vaillancourt, M; Hubert, A; Subra, C; Boucher, J; Bazie, WW; Vitry, J; Berrazouane, S; Routy, JP; Trottier, S; Tremblay, C; Jenabian, MA; Benmoussa, A; Provost, P; Tessier, PA; Gilbert, C</t>
  </si>
  <si>
    <t>Vaillancourt, Myriam; Hubert, Audrey; Subra, Caroline; Boucher, Julien; Bazie, Wilfried Wenceslas; Vitry, Julien; Berrazouane, Sofiane; Routy, Jean-Pierre; Trottier, Sylvie; Tremblay, Cecile; Jenabian, Mohammad-Ali; Benmoussa, Abderrahim; Provost, Patrick; Tessier, Philippe A.; Gilbert, Caroline</t>
  </si>
  <si>
    <t>Velocity Gradient Separation Reveals a New Extracellular Vesicle Population Enriched in miR-155 and Mitochondrial DNA</t>
  </si>
  <si>
    <t>PATHOGENS</t>
  </si>
  <si>
    <t>biomarker; calprotectin; extracellular vesicles; HIV; miR-92; miR-155; miR-223; mtDNA; velocity gradient; virions</t>
  </si>
  <si>
    <t>EXOSOME ISOLATION; HIV-1 INFECTION; T-LYMPHOCYTES; PLASMA; CELLS; MICRORNAS; REPLICATION; ASSOCIATION; MECHANISM; PROTEINS</t>
  </si>
  <si>
    <t>Extracellular vesicles (EVs) and their contents (proteins, lipids, messenger RNA, microRNA, and DNA) are viewed as intercellular signals, cell-transforming agents, and shelters for viruses that allow both diagnostic and therapeutic interventions. EVs circulating in the blood of individuals infected with human immunodeficiency virus (HIV-1) may provide insights into pathogenesis, inflammation, and disease progression. However, distinguishing plasma membrane EVs from exosomes, exomeres, apoptotic bodies, virions, and contaminating proteins remains challenging. We aimed at comparing sucrose and iodixanol density and velocity gradients along with commercial kits as a means of separating EVs from HIV particles and contaminating protein like calprotectin; and thereby evaluating the suitability of current plasma EVs analysis techniques for identifying new biomarkers of HIV-1 immune activation. Multiple analysis have been performed on HIV-1 infected cell lines, plasma from HIV-1 patients, or plasma from HIV-negative individuals spiked with HIV-1. Commercial kits, the differential centrifugation and density or velocity gradients to precipitate and separate HIV, EVs, and proteins such as calprotectin, have been used. EVs, virions, and contaminating proteins were characterized using Western blot, ELISA, RT-PCR, hydrodynamic size measurement, and enzymatic assay. Conversely to iodixanol density or velocity gradient, protein and virions co-sedimented in the same fractions of the sucrose density gradient than AChE-positive EVs. Iodixanol velocity gradient provided the optimal separation of EVs from viruses and free proteins in culture supernatants and plasma samples from a person living with HIV (PLWH) or a control and revealed a new population of large EVs enriched in microRNA miR-155 and mitochondrial DNA. Although EVs and their contents provide helpful information about several key events in HIV-1 pathogenesis, their purification and extensive characterization by velocity gradient must be investigated thoroughly before further use as biomarkers. By revealing a new population of EVs enriched in miR-155 and mitochondrial DNA, this study paves a way to increase our understanding of HIV-1 pathogenesis.</t>
  </si>
  <si>
    <t>[Vaillancourt, Myriam; Hubert, Audrey; Subra, Caroline; Boucher, Julien; Bazie, Wilfried Wenceslas; Vitry, Julien; Berrazouane, Sofiane; Trottier, Sylvie; Benmoussa, Abderrahim; Provost, Patrick; Tessier, Philippe A.; Gilbert, Caroline] Ctr Rech CHU Quebec Univ Laval, T1-49,2705 Blvd Laurier, Quebec City, PQ G1V 4G2, Canada; [Subra, Caroline] Henry M Jackson Fdn Adv Mil Med, Bethesda, MD 20817 USA; [Subra, Caroline] Walter Reed Army Inst Res, US Mil HIV Res Program, Silver Spring, MD 20910 USA; [Bazie, Wilfried Wenceslas] Inst Natl Sante Publ, Ctr Muraz, Programme Rech Malad Infect, 01 BP 390, Bobo Dioulasso, Burkina Faso; [Routy, Jean-Pierre] McGill Univ Hlth Ctr, Chron Viral Illness Serv, Montreal, PQ H4A 3J1, Canada; [Routy, Jean-Pierre] McGill Univ Hlth Ctr, Div Hematol, Montreal, PQ H4A 3J1, Canada; [Routy, Jean-Pierre] McGill Univ Hlth Ctr, Res Inst, Infect Dis &amp; Immun Global Hlth Program, Montreal, PQ H4A 3J1, Canada; [Trottier, Sylvie; Provost, Patrick; Tessier, Philippe A.; Gilbert, Caroline] Univ Laval, Ctr Rech CHU Quebec, Dept Microbiol Infectiol &amp; Immunol, Fac Med, T1-49,2705 Blvd Laurier, Quebec City, PQ G1V 4G2, Canada; [Tremblay, Cecile] Ctr Hosp Univ Montreal, Ctr Rech, Montreal, PQ H3C 3J7, Canada; [Tremblay, Cecile] Univ Montreal, Fac Med, Dept Microbiol Infectiol &amp; Immunol, Montreal, PQ H3T 1J4, Canada; [Jenabian, Mohammad-Ali] Univ Quebec Montreal UQAM, Dept Sci Biol, Montreal, PQ H2L 2C4, Canada; [Jenabian, Mohammad-Ali] Univ Quebec Montreal UQAM, Ctr Rech CERMO FC, Montreal, PQ H2L 2C4, Canada; [Benmoussa, Abderrahim] CHU St Justine Univ Montreal, Dept Nutr, Montreal, PQ H3T 1J4, Canada</t>
  </si>
  <si>
    <t>Henry M. Jackson Foundation for the Advancement of Military Medicine, Inc; United States Department of Defense; United States Army; Walter Reed Army Institute of Research (WRAIR); Centre Muraz; McGill University; McGill University; McGill University; Laval University; Universite de Montreal; Universite de Montreal; University of Quebec; University of Quebec Montreal; University of Quebec; University of Quebec Montreal; Universite de Montreal; Centre Hospitalier Universitaire Sainte-Justine</t>
  </si>
  <si>
    <t>Gilbert, C (corresponding author), Ctr Rech CHU Quebec Univ Laval, T1-49,2705 Blvd Laurier, Quebec City, PQ G1V 4G2, Canada.;Gilbert, C (corresponding author), Univ Laval, Ctr Rech CHU Quebec, Dept Microbiol Infectiol &amp; Immunol, Fac Med, T1-49,2705 Blvd Laurier, Quebec City, PQ G1V 4G2, Canada.</t>
  </si>
  <si>
    <t>myriam.vaillancourt@crchudequebec.ulaval.ca; audrey_hubert15@hotmail.com; caro_subra@yahoo.fr; julien.boucher.2@ulaval.ca; wilfried-wenceslas.bazie.1@ulaval.ca; Julien.Vitry@crchudequebec.ulaval.ca; Sofiane.Berrazouane@crchudequebec.ulaval.ca; jean-pierre.routy@mcgill.ca; sylvie.trottier@crchudequebec.ulaval.ca; c.tremblay@umontreal.ca; jenabian.mohammad-ali@uqam.ca; rahimbenmoussa@gmail.com; patrick.provost@crchudequebec.ulaval.ca; philippe.tessier@crchudequebec.ulaval.ca; caroline.gilbert@crchudequebec.ulaval.ca</t>
  </si>
  <si>
    <t>Provost, Patrick/G-2786-2010; Benmoussa, Abderrahim/AAR-1642-2021</t>
  </si>
  <si>
    <t>Provost, Patrick/0000-0002-6099-6562; Gilbert, Caroline/0000-0003-2722-1180; Vitry, Julien/0000-0001-8107-9336; Routy, Jean-Pierre/0000-0001-9897-7589; Bazie, Wilfried Wenceslas/0000-0002-7660-9280; Benmoussa, Abderrahim/0000-0002-9504-3120; Trottier, Sylvie/0000-0002-3986-5146</t>
  </si>
  <si>
    <t>2076-0817</t>
  </si>
  <si>
    <t>10.3390/pathogens10050526</t>
  </si>
  <si>
    <t>Microbiology</t>
  </si>
  <si>
    <t>WOS:000654411000001</t>
  </si>
  <si>
    <t>Kim, MJ; Kim, KP; Choi, E; Yim, JH; Choi, C; Yun, HS; Ahn, HY; Oh, JY; Cho, Y</t>
  </si>
  <si>
    <t>Kim, Mi-Ju; Kim, Kun-Pyo; Choi, Eunhye; Yim, June-Hyuck; Choi, Chunpil; Yun, Hyun-Sun; Ahn, Hee-Yoon; Oh, Ji-Young; Cho, Yunhi</t>
  </si>
  <si>
    <t>Effects of Lactobacillus plantarum CJLP55 on Clinical Improvement, Skin Condition and Urine Bacterial Extracellular Vesicles in Patients with Acne Vulgaris: A Randomized, Double-Blind, Placebo-Controlled Study</t>
  </si>
  <si>
    <t>NUTRIENTS</t>
  </si>
  <si>
    <t>Lactobacillus plantarum CJLP55; acne vulgaris; sebum; hydration; urine bacterial extracellular vesicles</t>
  </si>
  <si>
    <t>GUT MICROBIOTA; ATOPIC-DERMATITIS; PROBIOTICS; STRAINS; ACID; SUPPLEMENTATION; EXPRESSION; RESISTANCE; CERAMIDE; PATHWAY</t>
  </si>
  <si>
    <t>Lactobacillus plantarum CJLP55 has anti-pathogenic bacterial and anti-inflammatory activities in vitro. We investigated the dietary effect of CJLP55 supplement in patients with acne vulgaris, a prevalent inflammatory skin condition. Subjects ingested CJLP55 or placebo (n = 14 per group) supplements for 12 weeks in this double-blind, placebo-controlled randomized study. Acne lesion count and grade, skin sebum, hydration, pH and surface lipids were assessed. Metagenomic DNA analysis was performed on urine extracellular vesicles (EV), which indirectly reflect systemic bacterial flora. Compared to the placebo supplement, CJLP55 supplement improved acne lesion count and grade, decreased sebum triglycerides (TG), and increased hydration and ceramide 2, the major ceramide species that maintains the epidermal lipid barrier for hydration. In addition, CJLP55 supplement decreased the prevalence of Proteobacteria and increased Firmicutes, which were correlated with decreased TG, the major skin surface lipid of sebum origin. CJLP55 supplement further decreased the Bacteroidetes:Firmicutes ratio, a relevant marker of bacterial dysbiosis. No differences in skin pH, other skin surface lipids or urine bacterial EV phylum were noted between CJLP55 and placebo supplements. Dietary Lactobacillus plantarum CJLP55 was beneficial to clinical state, skin sebum, and hydration and urine bacterial EV phylum flora in patients with acne vulgaris.</t>
  </si>
  <si>
    <t>[Kim, Mi-Ju; Kim, Kun-Pyo; Choi, Eunhye; Cho, Yunhi] Kyung Hee Univ, Grad Sch East West Med Sci, Dept Med Nutr, Yongin 17104, Gyeongggi Do, South Korea; [Yim, June-Hyuck] Kyung Hee Univ, Dept Dermatol, Med Ctr, Seoul 02447, South Korea; [Choi, Chunpil] Skyfeel Dermatol Clin, Seoul 06020, South Korea; [Yun, Hyun-Sun; Ahn, Hee-Yoon; Oh, Ji-Young] CJ CheilJedang Corp, CJ Foods R&amp;D Ctr, Suwon 16495, Gyeongggi Do, South Korea</t>
  </si>
  <si>
    <t>Kyung Hee University; Kyung Hee University</t>
  </si>
  <si>
    <t>Cho, Y (corresponding author), Kyung Hee Univ, Grad Sch East West Med Sci, Dept Med Nutr, Yongin 17104, Gyeongggi Do, South Korea.</t>
  </si>
  <si>
    <t>miju0522@gmail.com; kunpyokim@gmail.com; eunhye960718@naver.com; aag0001@naver.com; laure102@nate.com; hs.yun@cj.net; hy.ahn@cj.net; jy.oh@cj.net; choyunhi@khu.ac.kr</t>
  </si>
  <si>
    <t>2072-6643</t>
  </si>
  <si>
    <t>10.3390/nu13041368</t>
  </si>
  <si>
    <t>Nutrition &amp; Dietetics</t>
  </si>
  <si>
    <t>WOS:000643355700001</t>
  </si>
  <si>
    <t>Ye, W; Tang, XJ; Yang, ZQ; Liu, C; Zhang, X; Jin, J; Lyu, JX</t>
  </si>
  <si>
    <t>Ye, Wei; Tang, Xiaojun; Yang, Zhengquan; Liu, Chu; Zhang, Xin; Jin, Jing; Lyu, Jianxin</t>
  </si>
  <si>
    <t>Plasma-derived exosomes contribute to inflammation via the TLR9-NF-kappa B pathway in chronic heart failure patients</t>
  </si>
  <si>
    <t>MOLECULAR IMMUNOLOGY</t>
  </si>
  <si>
    <t>Exosomes; Mitochondrial DNA; Inflammation; Toll like receptor 9; Chronic heart failure</t>
  </si>
  <si>
    <t>INTRAVENOUS IMMUNOGLOBULIN; EXTRACELLULAR VESICLES; GENE-EXPRESSION; CANCER; MICROVESICLES; RECEPTORS; CYTOKINES; RELEASE; CELLS; BIND</t>
  </si>
  <si>
    <t>Exosomes are small vesicles that contain proteins, DNA and RNA, and play an important role in inflammation; however, the underlying mechanism remains unclear. In the present study, we found increased plasma derived exosomes in chronic heart failure patients compared with healthy controls. Further, our data demonstrated that plasma derived exosomes carried mtDNA, and triggered an inflammatory response via the TLR9-NF-kappa B pathway, as well, the inflammatory effect was closely related to exosomal mtDNA copy number. However, the effect could be blocked by chloroquine (CQ), a TLR9 inhibitor. These findings reveal a new mechanism of exosome-induced inflammation, and provide a new perspective for intervention and treatment of inflammation related diseases, such as chronic heart failure. (C) 2017 Elsevier Ltd. All rights reserved.</t>
  </si>
  <si>
    <t>[Ye, Wei; Tang, Xiaojun; Yang, Zhengquan; Liu, Chu; Jin, Jing; Lyu, Jianxin] Wenzhou Med Univ, Key Lab Lab Med, Minist Educ China, Sch Lab Med &amp; Life Sci, Wenzhou 325035, Zhejiang, Peoples R China; [Ye, Wei; Tang, Xiaojun; Yang, Zhengquan; Liu, Chu; Jin, Jing; Lyu, Jianxin] Wenzhou Med Univ, Zhejiang Prov Key Lab Med Genet, Wenzhou 325035, Zhejiang, Peoples R China; [Zhang, Xin] Wenzhou Med Univ, Affiliated Hosp 2, Cardiovasc Dept, Wenzhou 325035, Zhejiang, Peoples R China</t>
  </si>
  <si>
    <t>Ministry of Education, China; Wenzhou Medical University; Wenzhou Medical University; Wenzhou Medical University</t>
  </si>
  <si>
    <t>Lyu, JX (corresponding author), Wenzhou Med Univ, Wenzhou 325035, Zhejiang, Peoples R China.</t>
  </si>
  <si>
    <t>ljxwzmc@aliyun.com</t>
  </si>
  <si>
    <t>yang, zhengquan/D-7789-2016</t>
  </si>
  <si>
    <t>yang, zhengquan/0000-0002-0640-5215</t>
  </si>
  <si>
    <t>0161-5890</t>
  </si>
  <si>
    <t>10.1016/j.molimm.2017.03.011</t>
  </si>
  <si>
    <t>Biochemistry &amp; Molecular Biology; Immunology</t>
  </si>
  <si>
    <t>WOS:000403863100012</t>
  </si>
  <si>
    <t>Jones, E; Stentz, R; Telatin, A; Savva, GM; Booth, C; Baker, D; Rudder, S; Knight, SC; Noble, A; Carding, SR</t>
  </si>
  <si>
    <t>Jones, Emily; Stentz, Regis; Telatin, Andrea; Savva, George M.; Booth, Catherine; Baker, David; Rudder, Steven; Knight, Stella C.; Noble, Alistair; Carding, Simon R.</t>
  </si>
  <si>
    <t>The Origin of Plasma-Derived Bacterial Extracellular Vesicles in Healthy Individuals and Patients with Inflammatory Bowel Disease: A Pilot Study</t>
  </si>
  <si>
    <t>extracellular vesicles; gut bacteria; inflammatory bowel disease; dysbiosis; microbiota; plasma; 16S rRNA</t>
  </si>
  <si>
    <t>OUTER-MEMBRANE VESICLES; GUT MICROBIOTA; BIOGENESIS; COMMENSALS</t>
  </si>
  <si>
    <t>The gastrointestinal tract harbors the gut microbiota, structural alterations of which (dysbiosis) are linked with an increase in gut permeability ( leaky gut ), enabling luminal antigens and bacterial products such as nanosized bacterial extracellular vesicles (BEVs) to access the circulatory system. Blood-derived BEVs contain various cargoes and may be useful biomarkers for diagnosis and monitoring of disease status and relapse in conditions such as inflammatory bowel disease (IBD). To progress this concept, we developed a rapid, cost-effective protocol to isolate BEV-associated DNA and used 16S rRNA gene sequencing to identify bacterial origins of the blood microbiome of healthy individuals and patients with Crohn's disease and ulcerative colitis. The 16S rRNA gene sequencing successfully identified the origin of plasma-derived BEV DNA. The analysis showed that the blood microbiota richness, diversity, or composition in IBD, healthy control, and protocol control groups were not significantly distinct, highlighting the issue of 'kit-ome' contamination in low-biomass studies. Our pilot study provides the basis for undertaking larger studies to determine the potential use of blood microbiota profiling as a diagnostic aid in IBD.</t>
  </si>
  <si>
    <t>[Jones, Emily; Stentz, Regis; Telatin, Andrea; Savva, George M.; Baker, David; Rudder, Steven; Carding, Simon R.] Quadram Inst, Gut Microbes &amp; Hlth Res Programme, Norwich Res Pk, Norwich NR4 7UQ, Norfolk, England; [Booth, Catherine] Quadram Inst, Core Sci Resources, Norwich Res Pk, Norwich NR4 7UQ, Norfolk, England; [Knight, Stella C.; Noble, Alistair] Imperial Coll London, Antigen Presentat Res Grp, Northwick Pk &amp; St Marks Hosp Campus, Harrow HA1 3UJ, Middx, England; [Carding, Simon R.] Univ East Anglia, Norwich Med Sch, Norwich NR4 7TJ, Norfolk, England; [Noble, Alistair] Pirbright Inst, Woking GU24 ONF, Surrey, England</t>
  </si>
  <si>
    <t>UK Research &amp; Innovation (UKRI); Biotechnology and Biological Sciences Research Council (BBSRC); Quadram Institute; UK Research &amp; Innovation (UKRI); Biotechnology and Biological Sciences Research Council (BBSRC); Quadram Institute; Imperial College London; University of East Anglia; UK Research &amp; Innovation (UKRI); Biotechnology and Biological Sciences Research Council (BBSRC); Pirbright Institute</t>
  </si>
  <si>
    <t>Carding, SR (corresponding author), Quadram Inst, Gut Microbes &amp; Hlth Res Programme, Norwich Res Pk, Norwich NR4 7UQ, Norfolk, England.;Carding, SR (corresponding author), Univ East Anglia, Norwich Med Sch, Norwich NR4 7TJ, Norfolk, England.</t>
  </si>
  <si>
    <t>emily.jones@quadram.ac.uk; regis.stentz@quadram.ac.uk; andrea.telatin@quadram.ac.uk; george.savva@quadram.ac.uk; catherine.booth@quadram.ac.uk; david.baker@quadram.ac.uk; steven.rudder@quadram.ac.uk; s.knight@imperial.ac.uk; alistair.noble@pirbright.ac.uk; simon.carding@quadram.ac.uk</t>
  </si>
  <si>
    <t>Telatin, Andrea/I-7438-2013</t>
  </si>
  <si>
    <t>Telatin, Andrea/0000-0001-7619-281X; Noble, Alistair/0000-0003-3936-1789; Baker, David/0000-0003-2126-7436; Carding, Simon/0000-0002-2383-9701; Rudder, Steven/0000-0003-0050-9037</t>
  </si>
  <si>
    <t>10.3390/genes12101636</t>
  </si>
  <si>
    <t>WOS:000716111300001</t>
  </si>
  <si>
    <t>Bandini, E; Rossi, T; Scarpi, E; Gallerani, G; Vannini, I; Salvi, S; Azzali, I; Melloni, M; Salucci, S; Battistelli, M; Serra, P; Maltoni, R; Cho, WC; Fabbri, F</t>
  </si>
  <si>
    <t>Bandini, Erika; Rossi, Tania; Scarpi, Emanuela; Gallerani, Giulia; Vannini, Ivan; Salvi, Samanta; Azzali, Irene; Melloni, Mattia; Salucci, Sara; Battistelli, Michela; Serra, Patrizia; Maltoni, Roberta; Cho, William C.; Fabbri, Francesco</t>
  </si>
  <si>
    <t>Early Detection and Investigation of Extracellular Vesicles Biomarkers in Breast Cancer</t>
  </si>
  <si>
    <t>FRONTIERS IN MOLECULAR BIOSCIENCES</t>
  </si>
  <si>
    <t>breast cancer; extracellular vesicles; plasma; liquid biopsy; biomarkers</t>
  </si>
  <si>
    <t>ENDOTHELIAL-CELLS</t>
  </si>
  <si>
    <t>Breast cancer (BC) is the most commonly diagnosed malignant tumor in women worldwide, and the leading cause of cancer death in the female population. The percentage of patients experiencing poor prognosis along with the risk of developing metastasis remains high, also affecting the resistance to current main therapies. Cancer progression and metastatic development are no longer due entirely to their intrinsic characteristics, but also regulated by signals derived from cells of the tumor microenvironment. Extracellular vesicles (EVs) packed with DNA, RNA, and proteins, are the most attractive targets for both diagnostic and therapeutic applications, and represent a decisive challenge as liquid biopsy-based markers. Here we performed a study based on a multiplexed phenotyping flow cytometric approach to characterize BC-derived EVs from BC patients and cell lines, through the detection of multiple antigens. Our data reveal the expression of EVs-related biomarkers derived from BC patient plasma and cell line supernatants, suggesting that EVs could be exploited for characterizing and monitoring disease progression.</t>
  </si>
  <si>
    <t>[Bandini, Erika; Rossi, Tania; Gallerani, Giulia; Vannini, Ivan; Salvi, Samanta; Melloni, Mattia; Fabbri, Francesco] IRCCS Ist Romagnolo Tumori IRST Dino Amadori, Biosci Lab, Meldola, Italy; [Scarpi, Emanuela; Azzali, Irene; Serra, Patrizia] IRCCS Ist Romagnolo Tumori IRST Dino Amadori, Biostat &amp; Clin Trials Unit, Meldola, Italy; [Salucci, Sara] Univ Bologna, Dept Biomed &amp; NeuroMotor Sci DIBINEM, Cellular Signalling Lab, Bologna, Italy; [Battistelli, Michela] Univ Urbino Carlo Bo, Dept Biomol Sci, Urbino, Italy; [Maltoni, Roberta] IRCCS Ist Romagnolo Tumori IRST Dino Amadori, Dept Med Oncol, Meldola, Italy; [Cho, William C.] Queen Elizabeth Hosp, Dept Clin Oncol, Kowloon, Hong Kong, Peoples R China</t>
  </si>
  <si>
    <t>University of Bologna; University of Urbino</t>
  </si>
  <si>
    <t>Bandini, E (corresponding author), IRCCS Ist Romagnolo Tumori IRST Dino Amadori, Biosci Lab, Meldola, Italy.</t>
  </si>
  <si>
    <t>erika.bandini@irst.emr.it</t>
  </si>
  <si>
    <t>Gallerani, Giulia/H-6427-2016; Azzali, Irene/AAC-1890-2022</t>
  </si>
  <si>
    <t>Gallerani, Giulia/0000-0003-0121-9621; Azzali, Irene/0000-0002-5808-7044; Melloni, Mattia/0000-0003-3987-7267; Bandini, Erika/0000-0002-4378-3573</t>
  </si>
  <si>
    <t>2296-889X</t>
  </si>
  <si>
    <t>NOV 8</t>
  </si>
  <si>
    <t>10.3389/fmolb.2021.732900</t>
  </si>
  <si>
    <t>WOS:000720771200001</t>
  </si>
  <si>
    <t>Morio, H; Sun, YC; Harada, M; Ide, H; Shimozato, O; Zhou, XJ; Higashi, K; Yuki, R; Yamaguchi, N; Hofbauer, JP; Guttmann-Gruber, C; Anzai, N; Akita, H; Chiba, K; Furihata, T</t>
  </si>
  <si>
    <t>Morio, Hanae; Sun, Yuchen; Harada, Manami; Ide, Hideyuki; Shimozato, Osamu; Zhou, Xujia; Higashi, Kenjirou; Yuki, Ryuzaburo; Yamaguchi, Naoto; Hofbauer, Josefina Pinon; Guttmann-Gruber, Christina; Anzai, Naohiko; Akita, Hidetaka; Chiba, Kan; Furihata, Tomomi</t>
  </si>
  <si>
    <t>Cancer-Type OATP1B3 mRNA in Extracellular Vesicles as a Promising Candidate for a Serum-Based Colorectal Cancer Biomarker</t>
  </si>
  <si>
    <t>BIOLOGICAL &amp; PHARMACEUTICAL BULLETIN</t>
  </si>
  <si>
    <t>organic anion transporting polypeptide 1B3; SLCO1B3; colorectal cancer; extracellular vesicle; cancer biomarker</t>
  </si>
  <si>
    <t>ANION TRANSPORTING POLYPEPTIDES; EXOSOMES; CELLS; MICROVESICLES; TISSUES; COLON</t>
  </si>
  <si>
    <t>Cancer-type organic anion transporting polypeptide 1B3 (Ct-OATP1B3) mRNA is a variant isoform of the liver-type OATP1B3. Because Ct-OATP1B3 mRNA shows an excellent cancer-specific expression profile in colorectal cancer (CRC), and that its expression levels are associated with CRC prognosis, it holds the potential to become a useful CRC detection and diagnosis biomarker. While the potential is currently justified only at the tissue level, if existence of Ct-OATP1B3 mRNA in CRC-derived extracellular vesicles (EVs) is validated, the findings could enhance its translational potential as a CRC detection and diagnosis biomarker. Therefore, this study aims at proving that Ct-OATP1B3 mRNA exists in CRC-derived EVs, and can be detected using serum specimens. To examine the possibility of Ct-OATP1B3 mRNA being existed in extracellular milieu, we isolated EVs from the human CRC (HCT116, HT-29, and SW480) cell lines, and prepared their cDNAs. The RT-PCR results showed that Ct-OATP1B3 mRNA was clearly present in EVs derived from the human CRC cell lines. Then, in order to further explore the possibility that Ct-OATP1B3 mRNA in CRC derived EVs can be detected in serum, we isolated serum EVs derived from human CRC xenograft mice, and then performed RT-PCR. The results showed that Ct-OATP1B3 mRNA could be found in all serum EV and CRC tissue samples of the mice examined. Collectively, our findings, which show that Ct-OATPIB3 mRNA exists in EVs and can be detected in (at least) mouse serum, strengthen the potential use of Ct-OATP1B3 mRNA as a serum-based CRC biomarker.</t>
  </si>
  <si>
    <t>[Morio, Hanae; Anzai, Naohiko; Furihata, Tomomi] Chiba Univ, Grad Sch Med, Dept Pharmacol, Chuou Ku, 1-8-1 Inohana, Chiba 2608670, Japan; [Morio, Hanae; Sun, Yuchen; Harada, Manami; Ide, Hideyuki; Zhou, Xujia; Akita, Hidetaka; Chiba, Kan; Furihata, Tomomi] Chiba Univ, Lab Pharmacol &amp; Toxicol, Grad Sch Pharmaceut Sci, Chuou Ku, 1-8-1 Inohana, Chiba 2608675, Japan; [Shimozato, Osamu] Chiba Canc Ctr Res Inst, Lab DNA Damage Signaling, Chuou Ku, 666-2 Nitona Cho, Chiba 2608717, Japan; [Higashi, Kenjirou] Chiba Univ, Dept Pharmaceut Technol, Grad Sch Pharmaceut Sci, Chuou Ku, 1-8-1 Inohana, Chiba 2608675, Japan; [Yuki, Ryuzaburo; Yamaguchi, Naoto] Chiba Univ, Lab Mol Cell Biol, Grad Sch Pharmaceut Sci, Chuou Ku, 1-8-1 Inohana, Chiba 2608675, Japan; [Hofbauer, Josefina Pinon; Guttmann-Gruber, Christina] Paracelsus Med Univ Salzburg, EB House Austria, Res Program Mol Therapy Genodermatoses, Dept Dermatol,Univ Hosp, Salzburg, Austria</t>
  </si>
  <si>
    <t>Chiba University; Chiba University; Chiba Cancer Center; Chiba University; Chiba University; Paracelsus Private Medical University</t>
  </si>
  <si>
    <t>Furihata, T (corresponding author), Chiba Univ, Grad Sch Med, Dept Pharmacol, Chuou Ku, 1-8-1 Inohana, Chiba 2608670, Japan.;Furihata, T (corresponding author), Chiba Univ, Lab Pharmacol &amp; Toxicol, Grad Sch Pharmaceut Sci, Chuou Ku, 1-8-1 Inohana, Chiba 2608675, Japan.</t>
  </si>
  <si>
    <t>tomomif@faculty.chiba-u.jp</t>
  </si>
  <si>
    <t>ANZAI, NAOHIKO/K-9492-2017; Zhou, Xujia/GLQ-9000-2022; Hofbauer, Josefina Pinon/S-6826-2019</t>
  </si>
  <si>
    <t>ANZAI, NAOHIKO/0000-0003-0605-0458; Guttmann-Gruber, Christina/0000-0001-8232-5068; Higashi, Kenjirou/0000-0003-2899-4724; Pinon Hofbauer, Josefina/0000-0002-8558-9031</t>
  </si>
  <si>
    <t>0918-6158</t>
  </si>
  <si>
    <t>10.1248/bpb.b17-00743</t>
  </si>
  <si>
    <t>WOS:000426890500022</t>
  </si>
  <si>
    <t>Wan, Y; Liu, B; Lei, H; Zhang, B; Wang, Y; Huang, H; Chen, S; Feng, Y; Zhu, L; Gu, Y; Zhang, Q; Ma, H; Zheng, SY</t>
  </si>
  <si>
    <t>Wan, Y.; Liu, B.; Lei, H.; Zhang, B.; Wang, Y.; Huang, H.; Chen, S.; Feng, Y.; Zhu, L.; Gu, Y.; Zhang, Q.; Ma, H.; Zheng, S-Y</t>
  </si>
  <si>
    <t>Nanoscale extracellular vesicle-derived DNA is superior to circulating cell-free DNA for mutation detection in early-stage non-small-cell lung cancer</t>
  </si>
  <si>
    <t>ANNALS OF ONCOLOGY</t>
  </si>
  <si>
    <t>liquid biopsy; extracellular vesicles; circulating tumor DNA; non-small-cell lung cancer; epidermal growth factor receptor; PCR</t>
  </si>
  <si>
    <t>EXOSOMES; SERUM; BIOMARKER; LABEL; PCR</t>
  </si>
  <si>
    <t>The comparison between relatively intact nanoscale extracellular vesicle-derived DNA (nEV-DNA) and fragmented circulating cell-free DNA (cfDNA) in mutation detection among patients with non-small-cell lung cancer (NSCLC) has not been carried out yet, and thus deserves investigation. Both nEV-DNA and cfDNA was obtained from 377 NSCLC patients with known EGFR mutation status and 69 controls. The respective EGFR(E19del/T790M/L858R) mutation status was interrogated with amplification-refractory-mutation-system-based PCR assays (ARMS-PCR). Neither nEV-DNA nor cfDNA levels show a strong correlation with tumor volumes. There is no correlation between cfDNA and nEV-DNA levels either. The detection sensitivity of nEV-DNA and cfDNA using ARMS-PCR in early-stage NSCLC was 25.7% and 14.2%, respectively, with 96.6% and 91.7% specificity, respectively. In late-stage NSCLC, both nEV-DNA and cfDNA show similar to 80% sensitivity and over 95% specificity. nEV-DNA is superior to cfDNA for mutation detection in early-stage NSCLC using ARMS-PCR. However, the advantages vanish in late-stage NSCLC.</t>
  </si>
  <si>
    <t>[Wan, Y.; Zheng, S-Y] Penn State Univ, Micro &amp; Nano Integrated Biosyst MINIBio Lab, Dept Biomed Engn, University Pk, PA 16802 USA; [Wan, Y.; Zheng, S-Y] Penn State Univ, Penn State Mat Res Inst, University Pk, PA 16802 USA; [Liu, B.] Nanjing Med Univ, Affiliate Hosp, Suzhou Municipal Hosp, Dept Pathol, Suzhou, Jiangsu, Peoples R China; [Lei, H.; Zhang, B.; Huang, H.; Chen, S.; Feng, Y.; Ma, H.] Soochow Univ, Affiliated Hosp 1, Dept Thorac Surg, 296 Shizi St, Suzhou 215000, Jiangsu, Peoples R China; [Lei, H.; Wang, Y.; Zhu, L.; Gu, Y.; Zhang, Q.] PerMed Biomed Inst, Shanghai, Peoples R China; [Zheng, S-Y] Penn State Univ, Penn State Canc Inst, University Pk, PA USA; [Zheng, S-Y] Penn State Univ, Dept Elect Engn, University Pk, PA 16802 USA</t>
  </si>
  <si>
    <t>Pennsylvania Commonwealth System of Higher Education (PCSHE); Pennsylvania State University; Pennsylvania State University - University Park; Pennsylvania Commonwealth System of Higher Education (PCSHE); Pennsylvania State University; Pennsylvania State University - University Park; Nanjing Medical University; Soochow University - China; Pennsylvania Commonwealth System of Higher Education (PCSHE); Pennsylvania State University; Penn State Health; Pennsylvania State University - University Park; Pennsylvania Commonwealth System of Higher Education (PCSHE); Pennsylvania State University; Pennsylvania State University - University Park</t>
  </si>
  <si>
    <t>Ma, H (corresponding author), Soochow Univ, Affiliated Hosp 1, Dept Thorac Surg, 296 Shizi St, Suzhou 215000, Jiangsu, Peoples R China.;Zheng, SY (corresponding author), Penn State Univ, Dept Biomed Engn, N-238 Millennium Sci Complex, University Pk, PA 16802 USA.</t>
  </si>
  <si>
    <t>mht7403@163.com; sxz10@psu.edu</t>
  </si>
  <si>
    <t>LIU, Biao/0000-0003-3477-6782</t>
  </si>
  <si>
    <t>0923-7534</t>
  </si>
  <si>
    <t>1569-8041</t>
  </si>
  <si>
    <t>10.1093/annonc/mdy458</t>
  </si>
  <si>
    <t>WOS:000456859200019</t>
  </si>
  <si>
    <t>Kong, LH; Tang, XF; Kang, YY; Dong, L; Tong, JH; Xu, JZ; Gao, PJ; Wang, JG; Shen, WL; Zhu, LM</t>
  </si>
  <si>
    <t>Kong, Linghui; Tang, Xiaofeng; Kang, Yuanyuan; Dong, Lei; Tong, Jianhua; Xu, Jianzhong; Gao, Ping-jin; Wang, Ji-guang; Shen, Weili; Zhu, Limin</t>
  </si>
  <si>
    <t>The Role of Urinary Extracellular Vesicles Sodium Chloride Cotransporter in Subtyping Primary Aldosteronism</t>
  </si>
  <si>
    <t>FRONTIERS IN ENDOCRINOLOGY</t>
  </si>
  <si>
    <t>primary aldosteronism; adrenal venous sampling; extracellular vesicles; NCC; KCNJ5</t>
  </si>
  <si>
    <t>KCNJ5 MUTATION; POTASSIUM; EXOSOMES</t>
  </si>
  <si>
    <t>BackgroundAdrenal venous sampling (AVS) is recognized as the gold standard for subtyping primary aldosteronism (PA), but its invasive nature and technical challenges limit its availability. A recent study reported that sodium chloride cotransporter (NCC) in urinary extracellular vesicles (uEVs) is a promising marker for assessing the biological activity of aldosterone and can be treated as a potential biomarker of PA. The current study was conducted to verify the hypothesis that the expression of NCC and its phosphorylated form (pNCC) in uEVs are different in various subtypes and genotypes of PA and can be used to select AVS candidates. MethodsA total of 50 patients with PA were enrolled in the study. Urinary extracellular vesicles (uEVs) were isolated from spot urine samples using ultracentrifugation. NCC and pNCC expressions were tested in patients diagnosed with PA who underwent AVS. Sanger sequencing of KCNJ5 was performed on DNA extracted from adrenal adenoma. ResultspNCC (1.89 folds, P&lt;.0001) and NCC (1.82 folds, P=0.0002) was more abundant in the uEVs in the high lateralization index (h-LI, &gt;= 4) group than in the low LI (l-LI, &lt; 4) group. Carriers of the somatic KCNJ5 mutations, compared with non-carriers, had more abundant pNCC expression (2.16 folds, P=0.0039). Positive correlation between pNCC abundance and plasma aldosterone level was found in this study (R = 0.1220, P = 0.0129). ConclusionsThe expression of pNCC in uEVs in patients with PA with various subtypes and genotypes was different. It can be used as biomarker of AVS for PA subtyping.</t>
  </si>
  <si>
    <t>[Kong, Linghui; Tang, Xiaofeng; Kang, Yuanyuan; Xu, Jianzhong; Gao, Ping-jin; Wang, Ji-guang; Shen, Weili; Zhu, Limin] Shanghai Jiao Tong Univ, Dept Cardiovasc Med, State Key Lab Med Genom,Ruijin Hosp,Sch Med, Shanghai Key Lab Hypertens,Shanghai Inst Hyperten, Shanghai, Peoples R China; [Dong, Lei] Shanghai Jiao Tong Univ, Dept Pathol, Ruijin Hosp, Sch Med, Shanghai, Peoples R China; [Tong, Jianhua] Shanghai Jiao Tong Univ, Dept Lab Med &amp; Cent Lab, Sch Med, Shanghai, Peoples R China</t>
  </si>
  <si>
    <t>Chinese Academy of Sciences; Shanghai Jiao Tong University; Shanghai Jiao Tong University; Shanghai Jiao Tong University</t>
  </si>
  <si>
    <t>Shen, WL; Zhu, LM (corresponding author), Shanghai Jiao Tong Univ, Dept Cardiovasc Med, State Key Lab Med Genom,Ruijin Hosp,Sch Med, Shanghai Key Lab Hypertens,Shanghai Inst Hyperten, Shanghai, Peoples R China.</t>
  </si>
  <si>
    <t>wlshen@sibs.ac.cn; zhulimin@rjh.com.cn</t>
  </si>
  <si>
    <t>1664-2392</t>
  </si>
  <si>
    <t>APR 4</t>
  </si>
  <si>
    <t>10.3389/fendo.2022.834409</t>
  </si>
  <si>
    <t>Endocrinology &amp; Metabolism</t>
  </si>
  <si>
    <t>WOS:000788688300001</t>
  </si>
  <si>
    <t>Rahman, MA; Barger, JF; Lovat, F; Gao, M; Otterson, GA; Nana-Sinkam, P</t>
  </si>
  <si>
    <t>Rahman, Mohammad A.; Barger, Jennifer F.; Lovat, Francesca; Gao, Min; Otterson, Gregory A.; Nana-Sinkam, Patrick</t>
  </si>
  <si>
    <t>Lung cancer exosomes as drivers of epithelial mesenchymal transition</t>
  </si>
  <si>
    <t>exosomes; vimentin; EMT; metastasis; lung cancer</t>
  </si>
  <si>
    <t>COMPLEX CLASS-II; TUMOR-MICROENVIRONMENT; CELLS; EXPRESSION; MICROVESICLES; ACCUMULATION; MOLECULES; VESICLES</t>
  </si>
  <si>
    <t>Exosomes, a subgroup of extracellular vesicles ( EVs), have been shown to serve as a conduit for the exchange of genetic information between cells. Exosomes are released from all types of cells but in abundance from cancer cells. The contents of exosomes consist of proteins and genetic material ( mRNA, DNA and miRNA) from the cell of origin. In this study, we examined the effects of exosomes derived from human lung cancer serum and both highly metastatic and non-metastatic cells on recipient human bronchial epithelial cells ( HBECs). We found that exosomes derived from highly metastatic lung cancer cells and human late stage lung cancer serum induced vimentin expression, and epithelial to mesenchymal transition ( EMT) in HBECs. Exosomes derived from highly metastatic cancer cells as well as late stage lung cancer serum induce migration, invasion and proliferation in non-cancerous recipient cells. Our results suggest that cancer derived exosomes could be a potential mediator of EMT in the recipient cells.</t>
  </si>
  <si>
    <t>[Rahman, Mohammad A.; Barger, Jennifer F.; Nana-Sinkam, Patrick] Ohio State Univ, Div Pulm Allergy Crit Care &amp; Sleep Med, Columbus, OH 43210 USA; [Lovat, Francesca; Nana-Sinkam, Patrick] Ohio State Univ, Dept Mol Virol Immunol &amp; Med Genet, Columbus, OH 43210 USA; [Gao, Min] Kent State Univ, Inst Liquid Crystal, Kent, OH 44242 USA; [Gao, Min] Kent State Univ, Chem Phys Interdisciplinary Program, Kent, OH 44242 USA; [Otterson, Gregory A.; Nana-Sinkam, Patrick] Ohio State Univ, Div Med Oncol, James Comprehens Canc Ctr, Columbus, OH 43210 USA</t>
  </si>
  <si>
    <t>Ohio State University; Ohio State University; Kent State University; Kent State University Kent; Kent State University Salem; Kent State University; Kent State University Kent; Kent State University Salem; James Cancer Hospital &amp; Solove Research Institute; Ohio State University</t>
  </si>
  <si>
    <t>Nana-Sinkam, P (corresponding author), Ohio State Univ, Div Pulm Allergy Crit Care &amp; Sleep Med, Columbus, OH 43210 USA.;Nana-Sinkam, P (corresponding author), Ohio State Univ, Dept Mol Virol Immunol &amp; Med Genet, Columbus, OH 43210 USA.;Nana-Sinkam, P (corresponding author), Ohio State Univ, Div Med Oncol, James Comprehens Canc Ctr, Columbus, OH 43210 USA.</t>
  </si>
  <si>
    <t>patrick.nana-sinkam@osumc.edu</t>
  </si>
  <si>
    <t>AUG 23</t>
  </si>
  <si>
    <t>10.18632/oncotarget.10243</t>
  </si>
  <si>
    <t>WOS:000385435000062</t>
  </si>
  <si>
    <t>Zocco, D; Bernardi, S; Novelli, M; Astrua, C; Fava, P; Zarovni, N; Carpi, FM; Bianciardi, L; Malavenda, O; Quaglino, P; Foroni, C; Russo, D; Chiesi, A; Fierro, MT</t>
  </si>
  <si>
    <t>Zocco, Davide; Bernardi, Simona; Novelli, Mauro; Astrua, Chiara; Fava, Paolo; Zarovni, Natasa; Carpi, Francesco M.; Bianciardi, Laura; Malavenda, Ottavia; Quaglino, Pietro; Foroni, Chiara; Russo, Domenico; Chiesi, Antonio; Fierro, Maria Teresa</t>
  </si>
  <si>
    <t>Isolation of extracellular vesicles improves the detection of mutant DNA from plasma of metastatic melanoma patients</t>
  </si>
  <si>
    <t>SCIENTIFIC REPORTS</t>
  </si>
  <si>
    <t>MUTATION ANALYSIS; SERUM EXOSOMES; BRAF MUTATIONS; DIGITAL PCR; CANCER; KRAS; MICROVESICLES; INFORMATION; GUIDELINES; SURVIVAL</t>
  </si>
  <si>
    <t>Detection of BRAF(V600E) within cell free tumor DNA (ctDNA) is emerging as a promising means to improve patients' stratification or enable BRAF inhibitor (BRAFi) therapeutic monitoring in a minimally invasive manner. Here, we investigated whether extracellular vesicle-(EV)-associated-DNA (EV-DNA) has value as an alternative source of circulating BRAF(V600E). To do so, we identified a clinical practice-compatible protocol for the isolation of EV-DNA and assessed BRAF gene status on plasma samples from metastatic melanoma patients at the beginning and during BRAFi therapy. This protocol uses a peptide with high affinity for EVs and it has been found to recover more mutant DNA from plasma than standard ultracentrifugation. Molecular analyses revealed that mutant DNA is largely unprotected from nuclease digestion, interacting with the outer side of the EV membrane or directly with the peptide. When used on clinical samples, we found that the protocol improves the detection of BRAF(V600E) gene copies in comparison to the reference protocol for ctDNA isolation. Taken together, these findings indicate that EVs are a promising source of mutant DNA and should be considered for the development of next-generation liquid biopsy approaches.</t>
  </si>
  <si>
    <t>[Zocco, Davide; Zarovni, Natasa; Carpi, Francesco M.; Bianciardi, Laura; Chiesi, Antonio] Exosomics SpA, Siena, Italy; [Novelli, Mauro; Astrua, Chiara; Fava, Paolo; Malavenda, Ottavia; Quaglino, Pietro; Fierro, Maria Teresa] Univ Torino, Lab Immunopatol Cutanea, Clin Dermatol, Dipartimento Sci Med, Turin, Italy; [Novelli, Mauro; Astrua, Chiara; Fava, Paolo; Malavenda, Ottavia; Quaglino, Pietro; Fierro, Maria Teresa] Azienda Osped Citta Salute &amp; Sci Torino, Turin, Italy; [Bernardi, Simona; Foroni, Chiara; Russo, Domenico] Spedali Civili Brescia, Lab CREA AIL, Brescia, Italy; [Bernardi, Simona; Foroni, Chiara; Russo, Domenico] Univ Brescia, Unit Bone Marrow Transplantat, Chair Hematol, Brescia, Italy</t>
  </si>
  <si>
    <t>University of Turin; A.O.U. Citta della Salute e della Scienza di Torino; Hospital Spedali Civili Brescia; University of Brescia</t>
  </si>
  <si>
    <t>Zocco, D (corresponding author), Exosomics SpA, Siena, Italy.</t>
  </si>
  <si>
    <t>dzocco@exosomics.eu</t>
  </si>
  <si>
    <t>Quaglino, Pietro/AAC-6122-2022; bernardi, simona/K-4667-2018</t>
  </si>
  <si>
    <t>Bernardi, Simona/0000-0002-3494-2624; QUAGLINO, Pietro/0000-0003-4185-9586</t>
  </si>
  <si>
    <t>2045-2322</t>
  </si>
  <si>
    <t>10.1038/s41598-020-72834-6</t>
  </si>
  <si>
    <t>WOS:000577248100020</t>
  </si>
  <si>
    <t>Grolz, D; Hauch, S; Schlumpberger, M; Guenther, K; Voss, T; Sprenger-Haussels, M; Oelmuller, U</t>
  </si>
  <si>
    <t>Groelz, Daniel; Hauch, Siegfried; Schlumpberger, Martin; Guenther, Kalle; Voss, Thorsten; Sprenger-Haussels, Markus; Oelmueller, Uwe</t>
  </si>
  <si>
    <t>Liquid Biopsy Preservation Solutions for Standardized Pre-Analytical Workflows-Venous Whole Blood and Plasma</t>
  </si>
  <si>
    <t>CURRENT PATHOBIOLOGY REPORTS</t>
  </si>
  <si>
    <t>Liquid biopsy; Circulating cell-free DNA (ccfDNA); Circulating tumor cells (CTC); Extracellular vesicles; Exosomes; pre-analytics; Pre-analytical workflows, standardization</t>
  </si>
  <si>
    <t>CELL-FREE DNA; CIRCULATING TUMOR-CELLS; METASTATIC BREAST-CANCER; FREE FETAL DNA; MATERNAL PLASMA; STORAGE-CONDITIONS; COLLECTION TUBES; PROCESSING PROTOCOLS; MEMBRANE-VESICLES; PERIPHERAL-BLOOD</t>
  </si>
  <si>
    <t>Purpose of Review Liquid biopsy analyses based on circulating cell-free nucleic acids, circulating tumor cells or other diseased cells from organs, and exosomes or other microvesicles in blood offer new means for non-invasive diagnostic applications. The main goal of this review is to explain the importance of preserving whole blood specimens after blood draw for use as liquid biopsies, and to summarize preservation solutions that are currently available. Recent Findings Despite the great potential of liquid biopsies for diagnostics and disease management, besides non-invasive prenatal testing (NIPT), only a few liquid biopsy applications are fully implemented for routine in vitro diagnostic testing. One major barrier is the lack of standardized pre-analytical workflows, including the collection of consistent quality blood specimens and the generation of good-quality plasma samples therefrom. Broader use of liquid biopsies in clinical routine applications therefore requires improved pre-analytical procedures to enable high-quality specimens to obtain unbiased analyte profiles (DNA, RNA, proteins, etc.) as they are in the patient's body. Summary A growing number of stabilizing reagents and dedicated blood collection tubes are available for the post-collection preservation of circulating cell-free DNA (ccfDNA) profiles in whole blood. In contrast, solutions for the preservation of circulating tumor cells (CTC) that enable both, enumeration and molecular analyses are rare. Solutions for extracellular vesicle (EV) populations, including exosomes, do not yet exist.</t>
  </si>
  <si>
    <t>[Groelz, Daniel; Hauch, Siegfried; Schlumpberger, Martin; Guenther, Kalle; Voss, Thorsten; Sprenger-Haussels, Markus; Oelmueller, Uwe] QIAGEN GmbH, Res &amp; Dev, QIAGEN Str 1, D-40724 Hilden, Germany</t>
  </si>
  <si>
    <t>Oelmuller, U (corresponding author), QIAGEN GmbH, Res &amp; Dev, QIAGEN Str 1, D-40724 Hilden, Germany.</t>
  </si>
  <si>
    <t>uwe.oelmueller@qiagen.com</t>
  </si>
  <si>
    <t>2167-485X</t>
  </si>
  <si>
    <t>10.1007/s40139-018-0180-z</t>
  </si>
  <si>
    <t>Cell Biology; Pathology</t>
  </si>
  <si>
    <t>WOS:000518472300009</t>
  </si>
  <si>
    <t>Barone, M; Barone, M; Ricci, F; Auteri, G; Corradi, G; Fabbri, F; Papa, V; Bandini, E; Cenacchi, G; Tazzari, PL; Vianelli, N; Turroni, S; Cavo, M; Palandri, F; Candela, M; Catani, L</t>
  </si>
  <si>
    <t>Barone, Monica; Barone, Martina; Ricci, Francesca; Auteri, Giuseppe; Corradi, Giulia; Fabbri, Francesco; Papa, Valentina; Bandini, Erika; Cenacchi, Giovanna; Tazzari, Pier Luigi; Vianelli, Nicola; Turroni, Silvia; Cavo, Michele; Palandri, Francesca; Candela, Marco; Catani, Lucia</t>
  </si>
  <si>
    <t>An Abnormal Host/Microbiomes Signature of Plasma-Derived Extracellular Vesicles Is Associated to Polycythemia Vera</t>
  </si>
  <si>
    <t>polycythemia vera; cancer; extracellular vesicles; microbial DNA cargo; gut microbiota</t>
  </si>
  <si>
    <t>MEGAKARYOCYTES; INFLAMMATION; NEOPLASMS</t>
  </si>
  <si>
    <t>Polycythemia Vera (PV) is a myeloproliferative neoplasm with increased risk of thrombosis and progression to myelofibrosis. Chronic inflammation is commonly observed in myeloproliferative neoplasms including PV. The inflammatory network includes the extracellular vesicles (EVs), which play a role in cell-cell communication. Recent evidence points to circulating microbial components/microbes as potential players in hemopoiesis regulation. To address the role of EVs in PV, here we investigated phenotype and microbial DNA cargo of circulating EVs through multidimensional analysis. Peripheral blood and feces were collected from PV patients (n=38) and healthy donors (n=30). Circulating megakaryocyte (MK)- and platelet (PLT)-derived EVs were analyzed by flow cytometry. After microbial DNA extraction from feces and isolated EVs, the 16S rDNA V3-V4 region was sequenced. We found that the proportion of circulating MK-derived EVs was significantly decreased in PV patients as compared with the healthy donors. By contrast, the proportion of the PLT-derived EVs was increased. Interestingly, PV was also associated with a microbial DNA signature of the isolated EVs with higher diversity and distinct microbial composition than the healthy counterparts. Of note, increased proportion of isolated lipopolysaccharide-associated EVs has been demonstrated in PV patients. Conversely, the gut microbiome profile failed to identify a distinct layout between PV patients and healthy donors. In conclusion, PV is associated with circulating EVs harbouring abnormal phenotype and dysbiosis signature with a potential role in the (inflammatory) pathogenesis of the disease.</t>
  </si>
  <si>
    <t>[Barone, Monica] Univ Bologna, Dept Med &amp; Surg Sci, Bologna, Italy; [Barone, Monica; Turroni, Silvia; Candela, Marco] Univ Bologna, Dept Pharm &amp; Biotechnol, Bologna, Italy; [Barone, Martina; Auteri, Giuseppe; Corradi, Giulia; Cavo, Michele; Catani, Lucia] Univ Bologna, IRCCS Azienda Osped Univ Bologna, Ist Ematol Seragnoli, Dipartimento Med Specialist Diagnost &amp; Sperimenta, Bologna, Italy; [Ricci, Francesca; Tazzari, Pier Luigi] IRCCS Azienda Osped Univ Bologna, Serv Immunoematol &amp; Trasfus, Bologna, Italy; [Fabbri, Francesco; Bandini, Erika] Ist Romagnolo Studio Tumori IRST Dino Amadori, IRCCS, Biosci Lab, Meldola, Italy; [Papa, Valentina; Cenacchi, Giovanna] Univ Bologna, Dept Biomed &amp; Neuromotor Sci, Bologna, Italy; [Vianelli, Nicola; Palandri, Francesca] IRCCS Azienda Osped Univ Bologna, Ist Ematol Seragnoli, Bologna, Italy</t>
  </si>
  <si>
    <t>University of Bologna; University of Bologna; IRCCS Azienda Ospedaliero-Universitaria di Bologna; University of Bologna; IRCCS Azienda Ospedaliero-Universitaria di Bologna; University of Bologna; IRCCS Azienda Ospedaliero-Universitaria di Bologna</t>
  </si>
  <si>
    <t>Palandri, F (corresponding author), IRCCS Azienda Osped Univ Bologna, Ist Ematol Seragnoli, Bologna, Italy.</t>
  </si>
  <si>
    <t>francesca.palandri@unibo.it</t>
  </si>
  <si>
    <t>Fabbri, Francesco/0000-0002-7885-3025; Bandini, Erika/0000-0002-4378-3573; CAVO, MICHELE/0000-0003-4514-3227</t>
  </si>
  <si>
    <t>NOV 25</t>
  </si>
  <si>
    <t>10.3389/fonc.2021.715217</t>
  </si>
  <si>
    <t>WOS:000728893400001</t>
  </si>
  <si>
    <t>Montaner-Tarbes, S; Pujol, M; Jabbar, T; Hawes, P; Chapman, D; Del Portillo, H; Fraile, L; Sanchez-Cordon, PJ; Dixon, L; Montoya, M</t>
  </si>
  <si>
    <t>Montaner-Tarbes, Sergio; Pujol, Myriam; Jabbar, Tamara; Hawes, Philippa; Chapman, Dave; Del Portillo, Hernando; Fraile, Lorenzo; Sanchez-Cordon, Pedro J.; Dixon, Linda; Montoya, Maria</t>
  </si>
  <si>
    <t>Serum-Derived Extracellular Vesicles from African Swine Fever Virus-Infected Pigs Selectively Recruit Viral and Porcine Proteins</t>
  </si>
  <si>
    <t>VIRUSES-BASEL</t>
  </si>
  <si>
    <t>extracellular vesicles; African swine fever virus; proteomic analysis</t>
  </si>
  <si>
    <t>DOMESTIC PIGS; ISOLATE; P-30; MONOCYTES/MACROPHAGES; IDENTIFICATION; PROTECTION; ANTIBODIES; MEMBRANE; GEORGIA; GENOME</t>
  </si>
  <si>
    <t>African swine fever is a devastating hemorrhagic infectious disease, which affects domestic and wild swines (Sus scrofa) of all breeds and ages, with a high lethality of up to 90-100% in naive animals. The causative agent, African swine fever virus (ASFV), is a large and complex double-stranded DNA arbovirus which is currently spreading worldwide, with serious socioeconomic consequences. There is no treatment or effective vaccine commercially available, and most of the current research is focused on attenuated viral models, with limited success so far. Thus, new strategies are under investigation. Extracellular vesicles (EVs) have proven to be a promising new vaccination platform for veterinary diseases in situations in which conventional approaches have not been completely successful. Here, serum extracellular vesicles from infected pigs using two different ASFV viruses (OURT 88/3 and Benin Delta MGF), corresponding to a naturally attenuated virus and a deletion mutant, respectively, were characterized in order to determine possible differences in the content of swine and viral proteins in EV-enriched fractions. Firstly, EVs were characterized by their CD5, CD63, CD81 and CD163 surface expression. Secondly, ASFV proteins were detected on the surface of EVs from ASFV-infected pig serum. Finally, proteomic analysis revealed few specific proteins from ASFV in the EVs, but 942 swine proteins were detected in all EV preparations (negative controls, and OURT 88/3 and Benin Delta MGF-infected preparations). However, in samples from OURT 88/3-infected animals, only a small number of proteins were differentially identified compared to control uninfected animals. Fifty-six swine proteins (Group Benin) and seven proteins (Group OURT 88/3) were differentially detected on EVs when compared to the EV control group. Most of these were related to coagulation cascades. The results presented here could contribute to a better understanding of ASFV pathogenesis and immune/protective responses in the host.</t>
  </si>
  <si>
    <t>[Montaner-Tarbes, Sergio; Del Portillo, Hernando; Fraile, Lorenzo; Montoya, Maria] Innovex Therapeut SL, Barcelona 08916, Spain; [Montaner-Tarbes, Sergio; Fraile, Lorenzo] Escola Tecn Super Engn Agr, Dept Ciencia Anim, Ave Alcalde Rovira Roure 191, Lleida 25198, Spain; [Pujol, Myriam] Univ Chile, Fac Med, Santiago 7591538, Chile; [Jabbar, Tamara; Hawes, Philippa; Chapman, Dave; Sanchez-Cordon, Pedro J.; Dixon, Linda; Montoya, Maria] Pirbright Inst, Ash Rd, Woking GU24 0NF, Surrey, England; [Montoya, Maria] Univ Complutense Madrid, CSIC, CIB, Ramiro de Maeztu 9, E-28040 Madrid, Spain</t>
  </si>
  <si>
    <t>Universidad de Chile; UK Research &amp; Innovation (UKRI); Biotechnology and Biological Sciences Research Council (BBSRC); Pirbright Institute; Complutense University of Madrid; Consejo Superior de Investigaciones Cientificas (CSIC); CSIC - Centro de Investigaciones Biologicas (CIB)</t>
  </si>
  <si>
    <t>Montoya, M (corresponding author), Innovex Therapeut SL, Barcelona 08916, Spain.;Montoya, M (corresponding author), Pirbright Inst, Ash Rd, Woking GU24 0NF, Surrey, England.;Montoya, M (corresponding author), Univ Complutense Madrid, CSIC, CIB, Ramiro de Maeztu 9, E-28040 Madrid, Spain.</t>
  </si>
  <si>
    <t>smontaner@igtp.cat; myriampujol@gmail.com; tamara.jabbar@pirbright.ac.uk; pippa.hawes@pirbright.ac.uk; chapmand@MedImmune.com; hernandoa.delportillo@isglobal.org; lorenzo.fraile@ca.udl.cat; Pedro.Sanchez-Cordon@apha.gov.uk; linda.dixon@pirbright.ac.uk; maria.montoya@cib.csic.es</t>
  </si>
  <si>
    <t>Martínez, Beatriz/H-2953-2012; Pujol Moris, Myriam/AAC-9149-2022; Fraile, Lorenzo/A-1142-2009; Fraile, Lorenzo/AGE-2172-2022; Rodriguez, Ana/GLQ-7829-2022; Montoya, Maria/G-3430-2015</t>
  </si>
  <si>
    <t>Martínez, Beatriz/0000-0001-7692-1963; Pujol Moris, Myriam/0000-0003-1833-3746; Fraile, Lorenzo/0000-0002-8980-5862; Fraile, Lorenzo/0000-0002-8980-5862; Rodriguez, Ana/0000-0002-1577-9905; Montoya, Maria/0000-0002-5703-7360; Dixon, Linda/0000-0003-3845-3016; Montaner Tarbes, Sergio/0000-0002-7664-3382; Sanchez Cordon, Pedro Jose/0000-0002-7202-6475; Chapman, David/0000-0002-8606-4069</t>
  </si>
  <si>
    <t>1999-4915</t>
  </si>
  <si>
    <t>10.3390/v11100882</t>
  </si>
  <si>
    <t>WOS:000498400400003</t>
  </si>
  <si>
    <t>Bakkour, S; Acker, JP; Chafets, DM; Inglis, HC; Norris, PJ; Lee, TH; Busch, MP</t>
  </si>
  <si>
    <t>Bakkour, S.; Acker, J. P.; Chafets, D. M.; Inglis, H. C.; Norris, P. J.; Lee, T. -H.; Busch, M. P.</t>
  </si>
  <si>
    <t>Manufacturing method affects mitochondrial DNA release and extracellular vesicle composition in stored red blood cells</t>
  </si>
  <si>
    <t>VOX SANGUINIS</t>
  </si>
  <si>
    <t>blood component; extracellular vesicles; manufacture; microparticles; mitochondrial DNA; process; red blood cells; storage</t>
  </si>
  <si>
    <t>ACUTE LUNG INJURY; IN-VITRO QUALITY; WHOLE-BLOOD; INFLAMMATORY RESPONSES; CLINICAL-RELEVANCE; FLOW-CYTOMETRY; MICROPARTICLES; PLASMA; UNITS; MICROVESICLES</t>
  </si>
  <si>
    <t>Background and Objectives Damage-associated molecular patterns (DAMPs) are found in transfusion products, but their potential impacts are not fully understood. We examined the influence of manufacturing method on levels of mitochondrial (mt) DNA and extracellular vesicle (EV) DAMPs in red cell concentrates (RCCs). Materials and Methods Eighty-seven RCCs were prepared using nine different methods (6-15 units/method), including three apheresis, five whole blood (WB)-derived leucoreduced (LR) and one WB-derived non-LR method. On storage days 5 and 42, levels of mtDNA (by PCR) and number and cell of origin of EVs (by flow cytometry) were assessed in RCC supernatants. Results There was a 100-fold difference in mtDNA levels among methods, with highest levels in non-LR, followed by MCS+ and Trima apheresis RCCs. There was a 10-fold difference in EV levels among methods. RBC-derived CD235a+ EVs were found in fresh RCCs and increased in most during storage. Platelet-derived CD41a+ EVs were highest in non-LR and Trima RCCs and did not change during storage. WBC-derived EVs were low in most RCCs; CD14+ EVs increased in several RCCs during storage. Conclusion DAMPs in RCCs vary by manufacturing method. MtDNA and EV could be informative quality markers that may be relevant to RCC immunomodulatory potential.</t>
  </si>
  <si>
    <t>[Bakkour, S.; Chafets, D. M.; Inglis, H. C.; Norris, P. J.; Lee, T. -H.; Busch, M. P.] Blood Syst Res Inst, 270 Masonic Ave, San Francisco, CA 94118 USA; [Acker, J. P.] Canadian Blood Serv, Ctr Innovat, Edmonton, AB, Canada; [Acker, J. P.] Univ Alberta, Dept Lab Med &amp; Pathol, Edmonton, AB, Canada; [Norris, P. J.; Busch, M. P.] Univ Calif San Francisco, Dept Lab Med, San Francisco, CA 94143 USA; [Norris, P. J.] Univ Calif San Francisco, Dept Med, San Francisco, CA USA</t>
  </si>
  <si>
    <t>Vitalant; Vitalant Research Institute; Canadian Blood Services; University of Alberta; University of California System; University of California San Francisco; University of California System; University of California San Francisco</t>
  </si>
  <si>
    <t>Bakkour, S (corresponding author), Blood Syst Res Inst, 270 Masonic Ave, San Francisco, CA 94118 USA.</t>
  </si>
  <si>
    <t>sbakkour@bloodsystems.org</t>
  </si>
  <si>
    <t>Acker, Jason/0000-0002-1445-827X</t>
  </si>
  <si>
    <t>0042-9007</t>
  </si>
  <si>
    <t>1423-0410</t>
  </si>
  <si>
    <t>10.1111/vox.12390</t>
  </si>
  <si>
    <t>Hematology</t>
  </si>
  <si>
    <t>WOS:000382772900004</t>
  </si>
  <si>
    <t>Cai, J; Han, Y; Ren, HM; Chen, CY; He, DF; Zhou, L; Eisner, GM; Asico, LD; Jose, PA; Zeng, CY</t>
  </si>
  <si>
    <t>Cai, Jin; Han, Yu; Ren, Hongmei; Chen, Caiyu; He, Duofen; Zhou, Lin; Eisner, Gilbert M.; Asico, Laureano D.; Jose, Pedro A.; Zeng, Chunyu</t>
  </si>
  <si>
    <t>Extracellular vesicle-mediated transfer of donor genomic DNA to recipient cells is a novel mechanism for genetic influence between cells</t>
  </si>
  <si>
    <t>JOURNAL OF MOLECULAR CELL BIOLOGY</t>
  </si>
  <si>
    <t>extracellular vesicles; genomic DNA; AT(1) receptor; BCR; ABL hybrid gene</t>
  </si>
  <si>
    <t>D-3 DOPAMINE-RECEPTORS; PROXIMAL TUBULE CELLS; ANGIOTENSIN-II; TUMOR-CELLS; EXOSOMES; ACTIVATION; BIOMARKERS; MICRORNAS; PROTEINS; AT(1)</t>
  </si>
  <si>
    <t>Extracellular vesicles (EVs) carry signals within or at their limiting membranes, providing a mechanism by which cells can exchange more complex information than what was previously thought. In addition to mRNAs and microRNAs, there are DNA fragments in EVs. Solexa sequencing indicated the presence of at least 16434 genomic DNA (gDNA) fragments in the EVs from human plasma. Immunofluorescence study showed direct evidence that acridine orange-stained EV DNAs could be transferred into the cells and localize to and inside the nuclear membrane. However, whether the transferred EV DNAs are functional or not is not clear. We found that EV gDNAs could be homologously or heterologously transferred from donor cells to recipient cells, and increase gDNA-coding mRNA, protein expression, and function (e.g. AT(1) receptor). An endogenous promoter of the AT(1) receptor, NF-B, could be recruited to the transferred DNAs in the nucleus, and increase the transcription of AT(1) receptor in the recipient cells. Moreover, the transferred EV gDNAs have pathophysiological significance. BCR/ABL hybrid gene, involved in the pathogenesis of chronic myeloid leukemia, could be transferred from K562 EVs to HEK293 cells or neutrophils. Our present study shows that the gDNAs transferred from EVs to cells have physiological significance, not only to increase the gDNA-coding mRNA and protein levels, but also to influence function in recipient cells.</t>
  </si>
  <si>
    <t>[Cai, Jin; Han, Yu; Ren, Hongmei; Chen, Caiyu; He, Duofen; Zhou, Lin; Zeng, Chunyu] Third Mil Med Univ, Daping Hosp, Dept Cardiol, Chongqing 400042, Peoples R China; [Eisner, Gilbert M.] Georgetown Univ, Med Ctr, Washington, DC 20007 USA; [Asico, Laureano D.; Jose, Pedro A.] Univ Maryland, Sch Med, Dept Med, Div Nephrol, Baltimore, MD 21201 USA</t>
  </si>
  <si>
    <t>Army Medical University; Georgetown University; University System of Maryland; University of Maryland Baltimore</t>
  </si>
  <si>
    <t>Zeng, CY (corresponding author), Third Mil Med Univ, Daping Hosp, Dept Cardiol, Chongqing 400042, Peoples R China.</t>
  </si>
  <si>
    <t>chunyuzeng01@163.com</t>
  </si>
  <si>
    <t>Asico, Laureano/AAM-6321-2020</t>
  </si>
  <si>
    <t>1674-2788</t>
  </si>
  <si>
    <t>10.1093/jmcb/mjt011</t>
  </si>
  <si>
    <t>WOS:000322914000003</t>
  </si>
  <si>
    <t>Aucamp, J; Bronkhorst, AJ; Pretorius, PJ</t>
  </si>
  <si>
    <t>Aucamp, Janine; Bronkhorst, Abel Jacobus; Pretorius, Piet J.</t>
  </si>
  <si>
    <t>A Historical and Evolutionary Perspective on Circulating Nucleic Acids and Extracellular Vesicles: Circulating Nucleic Acids as Homeostatic Genetic Entities</t>
  </si>
  <si>
    <t>Circulating nucleic acids; Extracellular vesicles; Genetic homeostasis; Metabolic DNA; Bystander effect; Genometastasis</t>
  </si>
  <si>
    <t>METABOLIC DNA; CHROMOSOMES; EXOSOMES; CANCER</t>
  </si>
  <si>
    <t>The quantitative and qualitative differences of circulating nucleic acids (cirNAs) between healthy and diseased individuals have motivated researchers to utilize these differences in the diagnosis and prognosis of various pathologies. The position maintained here is that reviewing the rather neglected early work associated with cirNAs and extracellular vesicles (EVs) is required to fully describe the nature of cirNAs. This review consists of an empirically up-to-date schematic summary of the major events that developed and integrated the concepts of heredity, genetic information and cirNAs. This reveals a clear pattern implicating cirNA as a homeostatic entity or messenger of genetic information. The schematic summary paints a picture of how cirNAs may serve as homeostatic genetic entities that promote synchrony of both adaptation and damage in tissues and organs depending on the source of the message.</t>
  </si>
  <si>
    <t>[Aucamp, Janine; Bronkhorst, Abel Jacobus; Pretorius, Piet J.] North West Univ, Div Biochem, Ctr Human Metabol, ZA-2520 Potchefstroom, South Africa</t>
  </si>
  <si>
    <t>North West University - South Africa</t>
  </si>
  <si>
    <t>Aucamp, J (corresponding author), North West Univ, Div Biochem, Ctr Human Metabol, ZA-2520 Potchefstroom, South Africa.</t>
  </si>
  <si>
    <t>aucampj@telkomsa.net</t>
  </si>
  <si>
    <t>2214-8019</t>
  </si>
  <si>
    <t>10.1007/978-3-319-42044-8_17</t>
  </si>
  <si>
    <t>WOS:000401116800018</t>
  </si>
  <si>
    <t>Lee, Y; Park, JY; Lee, EH; Yang, J; Jeong, BR; Kim, YK; Seoh, JY; Lee, S; Han, PL; Kim, EJ</t>
  </si>
  <si>
    <t>Lee, Yunjin; Park, Jin-Young; Lee, Eun-Hwa; Yang, Jinho; Jeong, Bo-Ri; Kim, Yoon-Keun; Seoh, Ju-Young; Lee, SoHyun; Han, Pyung-Lim; Kim, Eui-Jung</t>
  </si>
  <si>
    <t>Rapid Assessment of Microbiota Changes in Individuals with Autism Spectrum Disorder Using Bacteria-derived Membrane Vesicles in Urine</t>
  </si>
  <si>
    <t>EXPERIMENTAL NEUROBIOLOGY</t>
  </si>
  <si>
    <t>Autism spectrum disorder; gut microbiota; Extracellular membrane vesicles; Bacteria-derived EVs; urine marker</t>
  </si>
  <si>
    <t>GASTROINTESTINAL SYMPTOMS; EXTRACELLULAR VESICLES; GUT MICROBIOTA; CHILDREN; ASSOCIATION; METABOLITES; CHILDHOOD; INFANTIS; CELLS</t>
  </si>
  <si>
    <t>Individuals with autism spectrum disorder (ASD) have altered gut microbiota, which appears to regulate ASD symptoms via gut microbiota-brain interactions. Rapid assessment of gut microbiota profiles in ASD individuals in varying physiological contexts is important to understanding the role of the microbiota in regulating ASD symptoms. Microbiomes secrete extracellular membrane vesicles (EVs) to communicate with host cells and secreted EVs are widely distributed throughout the body including the blood and urine. In the present study, we investigated whether bacteria-derived EVs in urine are useful for the metagenome analysis of microbiota in ASD individuals. To address this, bacterial DNA was isolated from bacteria-derived EVs in the urine of ASD individuals. Subsequent metagenome analysis indicated markedly altered microbiota profiles at the levels of the phylum, class, order, family, and genus in ASD individuals relative to control subjects. Microbiota identified from urine EVs included gut microbiota reported in previous studies and their up-and down-regulation in ASD individuals were partially consistent with microbiota profiles previously assessed from ASD fecal samples. However, overall microbiota profiles identified in the present study represented a distinctive microbiota landscape for ASD. Particularly, the occupancy of g_Pseudomonas, g_Sphingomonas, g_Agrobacterium, g_Achromobacter, and g_Roseateles decreased in ASD, whereas g_Streptococcus, g_Akkermansia, g_Rhodococcus, and g_Halomonas increased. These results demonstrate distinctively altered gut microbiota profiles in ASD, and validate the utilization of urine EVs for the rapid assessment of microbiota in ASD.</t>
  </si>
  <si>
    <t>[Lee, Yunjin; Park, Jin-Young; Lee, Eun-Hwa; Han, Pyung-Lim] Ewha Womans Univ, Dept Brain &amp; Cognit Sci, Seoul 03760, South Korea; [Lee, SoHyun] Ewha Womans Univ, Dept Special Educ, Seoul 03760, South Korea; [Han, Pyung-Lim] Ewha Womans Univ, Dept Chem &amp; Nano Sci, Seoul 03760, South Korea; [Yang, Jinho; Jeong, Bo-Ri; Kim, Yoon-Keun] MD Healthcare Inc, Seoul, South Korea; [Seoh, Ju-Young] Ewha Womans Univ, Coll Med, Dept Microbiol, Seoul 07985, South Korea; [Kim, Eui-Jung] Ewha Womans Univ, Coll Med, Dept Psychiat, Seoul 07985, South Korea</t>
  </si>
  <si>
    <t>Ewha Womans University; Ewha Womans University; Ewha Womans University; Ewha Womans University; Ewha Womans University</t>
  </si>
  <si>
    <t>Han, PL (corresponding author), Ewha Womans Univ, Dept Brain &amp; Cognit Sci, Seoul 03760, South Korea.;Han, PL (corresponding author), Ewha Womans Univ, Dept Chem &amp; Nano Sci, Seoul 03760, South Korea.;Kim, EJ (corresponding author), Ewha Womans Univ, Coll Med, Dept Psychiat, Seoul 07985, South Korea.</t>
  </si>
  <si>
    <t>plhan@ewha.ac.kr; christie@ewha.ac.kr</t>
  </si>
  <si>
    <t>Han, Pyung-Lim/0000-0002-1735-6746; Yang, Jinho/0000-0001-7207-6846</t>
  </si>
  <si>
    <t>1226-2560</t>
  </si>
  <si>
    <t>2093-8144</t>
  </si>
  <si>
    <t>10.5607/en.2017.26.5.307</t>
  </si>
  <si>
    <t>Medicine, Research &amp; Experimental; Neurosciences</t>
  </si>
  <si>
    <t>Research &amp; Experimental Medicine; Neurosciences &amp; Neurology</t>
  </si>
  <si>
    <t>WOS:000424432900007</t>
  </si>
  <si>
    <t>Abdouh, M; Hamam, D; Gao, ZH; Arena, V; Arena, M; Arena, GO</t>
  </si>
  <si>
    <t>Abdouh, Mohamed; Hamam, Dana; Gao, Zu-Hua; Arena, Vincenzo; Arena, Manuel; Arena, Goffredo Orazio</t>
  </si>
  <si>
    <t>Exosomes isolated from cancer patients' sera transfer malignant traits and confer the same phenotype of primary tumors to oncosuppressor-mutated cells</t>
  </si>
  <si>
    <t>JOURNAL OF EXPERIMENTAL &amp; CLINICAL CANCER RESEARCH</t>
  </si>
  <si>
    <t>Cancer patients' serum; Exosomes; Malignant transformation; Horizontal transfer; Tumor suppressor genes; Genometastasis; Phenotypical differentiation</t>
  </si>
  <si>
    <t>EXTRACELLULAR VESICLES; STEM-CELLS; MICROVESICLES; METASTASIS; BIOGENESIS; EXPRESSION; BIOMARKER; PROTEINS; DNA; IDENTIFICATION</t>
  </si>
  <si>
    <t>Background: Horizontal transfer of malignant traits from the primary tumor to distant organs, through blood circulating factors, has recently become a thoroughly studied metastatic pathway to explain cancer dissemination. Recently, we reported that oncosuppressor gene-mutated human cells undergo malignant transformation when exposed to cancer patients' sera. We also observed that oncosuppressor mutated cells would show an increased uptake of cancer-derived exosomes and we suggested that oncosuppressor genes might protect the integrity of the cell genome by blocking integration of cancer-derived exosomes. In the present study, we tested the hypothesis that cancer patients' sera-derived exosomes might be responsible for the malignant transformation of target cells and that oncosuppressor mutation would promote their increased uptake. We also sought to unveil the mechanisms behind the hypothesized phenomena. Methods: We used human BRCA1 knockout (BRCA1-KO) fibroblasts as target cells. Cells were treated in vitro with cancer patients' sera or cancer patients' sera-derived exosomes. Treated cells were injected into NOD-SCID mice. Immunohistochemical analyses were performed to determine the differentiation state of the xenotransplants. Mass spectrometry analyses of proteins from cancer exosomes and the BRCA1-KO fibroblasts' membrane were performed to investigate possible de novo expression of molecules involved in vesicles uptake. Blocking of the identified molecules in vitro was performed and in vivo experiments were conducted to confirm the role of these molecules in the malignant transformation carried out by cancer-derived exosomes. Results: Cells treated with exosomes isolated from cancer patients' sera underwent malignant transformation and formed tumors when transplanted into immunodeficient mice. Histological analyses showed that the tumors were carcinomas that differentiated into the same lineage of the primary tumors of blood donors. Oncosuppressor mutation promoted the de novo expression, on the plasma membrane of target cells, of receptors, responsible for the increased uptake of cancer-derived exosomes. The selective blocking of these receptors inhibited the horizontal transfer of malignant traits. Conclusion: These findings strengthen the hypothesis that oncogenic factors transferred via circulating cancer exosomes, induce malignant transformation of target cells even at distance. Oncosuppressor genes might protect the integrity of the cell genome by inhibiting the uptake of cancer-derived exosomes.</t>
  </si>
  <si>
    <t>[Abdouh, Mohamed; Hamam, Dana; Arena, Goffredo Orazio] McGill Univ, Canc Res Program, Hlth Centre Res Inst, 1001 Decarie Blvd, Montreal, PQ H4A 3J1, Canada; [Hamam, Dana] McGill Univ, Dept Expt Surg, Fac Med, 845 Rue Sherbrooke O, Montreal, PQ H3A 0G4, Canada; [Gao, Zu-Hua] McGill Univ, Hlth Ctr, Res Inst, Dept Pathol, 1001 Decarie Blvd, Montreal, PQ H4A 3J1, Canada; [Arena, Vincenzo] Santo Bambino Hosp, Dept Obstet &amp; Gynecol, Via Torre del Vescovo 4, Catania, Italy; [Arena, Manuel] Univ Catania, Dept Surg Sci Organ Transplantat &amp; Adv Technol, Via Santa Sofia 84, Catania, Italy; [Arena, Goffredo Orazio] McGill Univ, St Mary Hosp, Dept Surg, 3830 Lacombe Ave, Montreal, PQ H3T 1M5, Canada</t>
  </si>
  <si>
    <t>McGill University; McGill University; McGill University; University of Catania; McGill University</t>
  </si>
  <si>
    <t>Arena, GO (corresponding author), McGill Univ, Canc Res Program, Hlth Centre Res Inst, 1001 Decarie Blvd, Montreal, PQ H4A 3J1, Canada.;Arena, GO (corresponding author), McGill Univ, St Mary Hosp, Dept Surg, 3830 Lacombe Ave, Montreal, PQ H3T 1M5, Canada.</t>
  </si>
  <si>
    <t>goffredo.arena@mcgill.ca</t>
  </si>
  <si>
    <t>arena, goffredo/AAR-5283-2020</t>
  </si>
  <si>
    <t>Arena, Goffredo/0000-0002-5293-2972; Abdouh, Mohamed/0000-0003-0702-9335</t>
  </si>
  <si>
    <t>1756-9966</t>
  </si>
  <si>
    <t>AUG 30</t>
  </si>
  <si>
    <t>10.1186/s13046-017-0587-0</t>
  </si>
  <si>
    <t>WOS:000408632100001</t>
  </si>
  <si>
    <t>Bowers, EC; Motta, A; Knox, K; McKay, BS; Ramos, KS</t>
  </si>
  <si>
    <t>Bowers, Emma C.; Motta, Alexandre; Knox, Ken; McKay, Brian S.; Ramos, Kenneth S.</t>
  </si>
  <si>
    <t>LINE-1 Cargo and Reverse Transcriptase Activity Profiles in Extracellular Vesicles from Lung Cancer Cells and Human Plasma</t>
  </si>
  <si>
    <t>LINE-1; extracellular vesicles; exosomes; benzo[a]pyrene; BaP; reverse transcriptase; lung cancer; liquid biopsy; ORF1p; ORF2p; retrotransposition; retrotransposons</t>
  </si>
  <si>
    <t>RETROTRANSPOSITION; HYPOMETHYLATION; BENZO(A)PYRENE; ELEMENTS; EXPRESSION; EXOSOMES</t>
  </si>
  <si>
    <t>Long Interspersed Element-1 (LINE-1) is an oncogenic human retrotransposon that 'copies and pastes' DNA into new locations via reverse transcription. Given that enzymatically active LINE-1 can be exported in extracellular vesicles (EVs), and that LINE-1 mRNA and its two encoded proteins, ORF1p and ORF2p, are required for retrotransposition, the present study examined LINE-1 EV loading patterns relative to reverse transcriptase (RT) activity in vivo and in vitro. Density gradient ultracentrifugation identified conserved patterns of LINE-1 mRNA and protein distribution in EVs, with RT activity readily detected in EV fractions containing both LINE-1 mRNA and protein. Unlike whole cell and tissue lysates, the ORF1p in EVs was detected as a dimer. EVs from ostensibly healthy plasma donors showed variable but consistent ORF1p profiles, with residual levels of LINE-1 mRNA measured in some but not all samples. EVs from cancer cell lines had elevated mean LINE-1 levels and 5-85 times greater RT activity than EVs from normal cells or healthy plasma. EV RT activity was associated with EV LINE-1 mRNA content and was highest in cell lines that also expressed an elevated expression of ORF1p and ORF2p. Given that LINE-1 activation is a hallmark of many cancer types, our findings suggest that an EV LINE-1 'liquid biopsy' may be developed to monitor LINE-1 activity during the course of malignant progression.</t>
  </si>
  <si>
    <t>[Bowers, Emma C.; Ramos, Kenneth S.] Texas A&amp;M Inst Biosci &amp; Technol, Ctr Genom &amp; Precis Med, Houston, TX 77030 USA; [Motta, Alexandre] Univ Arizona, Coll Med Tucson, Tucson, AZ 85724 USA; [Knox, Ken] Univ Arizona, Coll Med Phoenix, Dept Internal Med, Div Pulm Med, Phoenix, AZ 85004 USA; [McKay, Brian S.] Univ Arizona, Coll Med, Dept Ophthalmol &amp; Vis Sci, Tucson, AZ 85724 USA</t>
  </si>
  <si>
    <t>University of Arizona; University of Arizona; University of Arizona</t>
  </si>
  <si>
    <t>Ramos, KS (corresponding author), Texas A&amp;M Inst Biosci &amp; Technol, Ctr Genom &amp; Precis Med, Houston, TX 77030 USA.</t>
  </si>
  <si>
    <t>emma.ciel@gmail.com; cavalcante@email.arizona.edu; kknox@deptofmed.arizona.edu; bmckay@eyes.arizona.edu; kramos@tamu.edu</t>
  </si>
  <si>
    <t>Knox, Kenneth S/0000-0002-5261-6558; Motta, Alexandre J./0000-0002-9288-1057</t>
  </si>
  <si>
    <t>10.3390/ijms23073461</t>
  </si>
  <si>
    <t>WOS:000781916000001</t>
  </si>
  <si>
    <t>Figueroa, JM; Skog, J; Akers, J; Li, HY; Komotar, R; Jensen, R; Ringel, F; Yang, I; Kalkanis, S; Thompson, R; LoGuidice, L; Berghoff, E; Parsa, A; Liau, L; Curry, W; Cahill, D; Bettegowda, C; Lang, FF; Chiocca, EA; Henson, J; Kim, R; Breakefield, X; Chen, C; Messer, K; Hochberg, F; Carter, BS</t>
  </si>
  <si>
    <t>Figueroa, Javier M.; Skog, Johan; Akers, Johnny; Li, Hongying; Komotar, Ricardo; Jensen, Randy; Ringel, Florian; Yang, Isaac; Kalkanis, Steven; Thompson, Reid; LoGuidice, Lori; Berghoff, Emily; Parsa, Andrew; Liau, Linda; Curry, William; Cahill, Daniel; Bettegowda, Chetan; Lang, Frederick F.; Chiocca, E. Antonio; Henson, John; Kim, Ryan; Breakefield, Xandra; Chen, Clark; Messer, Karen; Hochberg, Fred; Carter, Bob S.</t>
  </si>
  <si>
    <t>Detection of wild-type EGFR amplification and EGFRvIII mutation in CSF-derived extracellular vesicles of glioblastoma patients</t>
  </si>
  <si>
    <t>NEURO-ONCOLOGY</t>
  </si>
  <si>
    <t>biomarker; CSF; EGFRvIII; glioma; vesicle</t>
  </si>
  <si>
    <t>GROWTH-FACTOR RECEPTOR; CEREBROSPINAL-FLUID; MICROVESICLES; MULTIFORME; CONCURRENT; EFFICACY; EXOSOMES; SAFETY; BIOPSY; RNA</t>
  </si>
  <si>
    <t>Background. RNAs within extracellular vesicles (EVs) have potential as diagnostic biomarkers for patients with cancer and are identified in a variety of biofluids. Glioblastomas (GBMs) release EVs containing RNA into cerebrospinal fluid (CSF). Here we describe a multi-institutional study of RNA extracted from CSF-derived EVs of GBM patients to detect the presence of tumor-associated amplifications and mutations in epidermal growth factor receptor (EGFR). Methods. CSF and matching tumor tissue were obtained from patients undergoing resection of GBMs. We determined wild-type (wt) EGFR DNA copy number amplification, as well as wtEGFR and EGFR variant (v) III RNA expression in tumor samples. We also characterized wtEGFR and EGFRvIII RNA expression in CSF-derived EVs. Results. EGFRvIII-positive tumors had significantly greater wtEGFR DNA amplification (P = 0.02) and RNA expression (P = 0.03), and EGFRvIII-positive CSF-derived EVs had significantly more wtEGFR RNA expression (P = 0.004). EGFRvIII was detected in CSF-derived EVs for 14 of the 23 EGFRvIII tissue-positive GBM patients. Conversely, only one of the 48 EGFRvIII tissue-negative patients had the EGFRvIII mutation detected in their CSF-derived EVs. These results yield a sensitivity of 61% and a specificity of 98% for the utility of CSF-derived EVs to detect an EGFRvIIIpositive GBM. Conclusion. Our results demonstrate CSF-derived EVs contain RNA signatures reflective of the underlying molecular genetic status of GBMs in terms of wtEGFR expression and EGFRvIII status. The high specificity of the CSF-derived EV diagnostic test gives us an accurate determination of positive EGFRvIII tumor status and is essentially a less invasive liquid biopsy that might direct mutation-specific therapies for GBMs.</t>
  </si>
  <si>
    <t>[Figueroa, Javier M.; Akers, Johnny; Komotar, Ricardo; Chen, Clark; Hochberg, Fred; Carter, Bob S.] Univ Calif San Diego, Div Neurosurg, San Diego, CA 92103 USA; [Li, Hongying; Messer, Karen] Univ Calif San Diego, Div Biostat, San Diego, CA 92103 USA; [Skog, Johan; Berghoff, Emily; Liau, Linda; Breakefield, Xandra] Exosome Diagnost Inc, New York, NY USA; [Komotar, Ricardo] Univ Miami, Dept Neurosurg, Miami, FL USA; [Jensen, Randy] Univ Utah, Dept Neurosurg, Salt Lake City, UT USA; [Ringel, Florian] Neurochirurg Klin &amp; Poliklin, Munich, Germany; [Kalkanis, Steven] Henry Ford Hlth Syst, Dept Neurosurg, Detroit, MI USA; [Thompson, Reid] Vanderbilt Univ, Dept Neurosurg, 221 Kirkland Hall, Nashville, TN 37235 USA; [Parsa, Andrew] Northwestern Univ, Dept Neurosurg, Chicago, IL 60611 USA; [Yang, Isaac; Liau, Linda] Univ Calif Los Angeles, Dept Neurosurg, 200 West Arbor Dr, Los Angeles, CA 92103 USA; [Bettegowda, Chetan] Johns Hopkins Univ, Dept Neurosurg, Baltimore, MD USA; [Lang, Frederick F.] Univ Texas MD Anderson Canc Ctr, Dept Neurosurg, Houston, TX 77030 USA; [Chiocca, E. Antonio] Brigham &amp; Womens Hosp, Dept Neurosurg, 75 Francis St, Boston, MA 02115 USA; [Henson, John] Swedish Med Ctr, Dept Neurol, Seattle, WA USA; [Curry, William; Cahill, Daniel] Massachusetts Gen Hosp, Dept Neurosurg, Boston, MA 02114 USA</t>
  </si>
  <si>
    <t>University of California System; University of California San Diego; University of California System; University of California San Diego; University of Miami; Utah System of Higher Education; University of Utah; Henry Ford Hospital; Vanderbilt University; Northwestern University; University of California System; University of California Los Angeles; Johns Hopkins University; University of Texas System; UTMD Anderson Cancer Center; Harvard University; Brigham &amp; Women's Hospital; Swedish Medical Center; Harvard University; Massachusetts General Hospital</t>
  </si>
  <si>
    <t>Carter, BS (corresponding author), Univ Calif Los Angeles, Dept Neurosurg, 200 West Arbor Dr, Los Angeles, CA 92103 USA.</t>
  </si>
  <si>
    <t>bobcarter@ucsd.edu</t>
  </si>
  <si>
    <t>Yang, Isaac/AAT-5897-2020; Ringel, Florian/E-4933-2014; Carter, Bob/AAB-4868-2021</t>
  </si>
  <si>
    <t>Yang, Isaac/0000-0002-5176-5615; Carter, Bob/0000-0002-3586-1324; Skog, Johan/0000-0002-0926-1691; Liau, Linda/0000-0002-4053-0052; Cahill, Daniel/0000-0003-2552-6546</t>
  </si>
  <si>
    <t>1522-8517</t>
  </si>
  <si>
    <t>1523-5866</t>
  </si>
  <si>
    <t>10.1093/neuonc/nox085</t>
  </si>
  <si>
    <t>Oncology; Clinical Neurology</t>
  </si>
  <si>
    <t>Oncology; Neurosciences &amp; Neurology</t>
  </si>
  <si>
    <t>WOS:000413219400010</t>
  </si>
  <si>
    <t>Foroni, C; Zarovni, N; Bianciardi, L; Bernardi, S; Triggiani, L; Zocco, D; Venturella, M; Chiesi, A; Valcamonico, F; Berruti, A</t>
  </si>
  <si>
    <t>Foroni, Chiara; Zarovni, Natasa; Bianciardi, Laura; Bernardi, Simona; Triggiani, Luca; Zocco, Davide; Venturella, Marta; Chiesi, Antonio; Valcamonico, Francesca; Berruti, Alfredo</t>
  </si>
  <si>
    <t>When Less Is More: Specific Capture and Analysis of Tumor Exosomes in Plasma Increases the Sensitivity of Liquid Biopsy for Comprehensive Detection of Multiple Androgen Receptor Phenotypes in Advanced Prostate Cancer Patients</t>
  </si>
  <si>
    <t>exosomes; extracellular vesicles; castration resistant prostate cancer; AR-V7; liquid biopsy</t>
  </si>
  <si>
    <t>MESSENGER-RNA; PSA RESPONSE; ABIRATERONE; RESISTANCE; VARIANTS; CELLS; AR-V7; MEN; AR</t>
  </si>
  <si>
    <t>We evaluated the advantages and the reliability of novel protocols for the enrichment of tumor extracellular vesicles (EVs), enabling a blood-based test for the noninvasive parallel profiling of multiple androgen receptor (AR) gene alterations. Three clinically relevant AR variants related to response/resistance to standard-of-care treatments (AR-V7 transcript, AR T878A point mutation and AR gene amplification) were evaluated by digital PCR in 15 samples from patients affected by Castration-Resistant Prostate Cancer (CRPC). Plasma was processed to obtain circulating RNA and DNA using protocols based on tumor EVs enrichment through immuno-affinity and peptide-affinity compared to generic extraction kits. Our results showed that immuno-affinity enrichment prior to RNA extraction clearly outperforms the generic isolation method in the detection of AR-V7, also allowing for a distinction between responder (R) and non-responder (NR) patients. The T878A mutation was detected, overall, in nine out of 15 samples and no approach alone was able to reveal mutations in all harboring samples, showing that the employed methods complement each other. AR amplification was detected in the majority of CRPC samples analysed using either cell-free DNA (cfDNA) or exosome isolation kits (80%). We demonstrated that selective isolation of a subset of circulating exosomes enriched for tumor origin, rather than analysis of total plasma exosomes, or total plasma nucleic acids, increases sensitivity and specificity for the detection of specific alterations.</t>
  </si>
  <si>
    <t>[Foroni, Chiara; Bernardi, Simona] ASST Spedali Civili Brescia, CREA Lab, Ctr Ric Ematooncol AIL, I-25123 Brescia, Italy; [Foroni, Chiara; Valcamonico, Francesca; Berruti, Alfredo] Univ Brescia, Dept Med &amp; Surg Specialties, Oncol Unit, Radiol Sci &amp; Publ Hlth,ASST Spedali Civili Bresci, I-25123 Brescia, Italy; [Zarovni, Natasa; Bianciardi, Laura; Zocco, Davide; Venturella, Marta; Chiesi, Antonio] Exos SpA Siena, Str Petriccio &amp; Belriguardo 35, I-53100 Siena, Italy; [Bernardi, Simona] Univ Brescia, Dept Clin &amp; Expt Sci, Unit Blood Dis &amp; Stem Cell Transplantat, ASST Spedali Civili Brescia, I-25123 Brescia, Italy; [Triggiani, Luca] Univ Brescia, Radiat Oncol Dept, ASST Spedali Civili, I-25123 Brescia, Italy</t>
  </si>
  <si>
    <t>Hospital Spedali Civili Brescia; University of Brescia; Hospital Spedali Civili Brescia; University of Brescia; Hospital Spedali Civili Brescia; University of Brescia</t>
  </si>
  <si>
    <t>Foroni, C (corresponding author), ASST Spedali Civili Brescia, CREA Lab, Ctr Ric Ematooncol AIL, I-25123 Brescia, Italy.;Foroni, C (corresponding author), Univ Brescia, Dept Med &amp; Surg Specialties, Oncol Unit, Radiol Sci &amp; Publ Hlth,ASST Spedali Civili Bresci, I-25123 Brescia, Italy.;Zarovni, N (corresponding author), Exos SpA Siena, Str Petriccio &amp; Belriguardo 35, I-53100 Siena, Italy.</t>
  </si>
  <si>
    <t>chiaforons@gmail.com; nzarovni@exosomics.eu; lbianciardi@exosomics.eu; simona.bernardi86@gmail.com; luca.triggiani@unibs.it; dzocco@exosomics.eu; mventurella@exosomics.eu; achiesi@exosomics.eu; franzval@yahoo.it; alfredo.berruti@unibs.it</t>
  </si>
  <si>
    <t>bernardi, simona/K-4667-2018; Triggiani, Luca/AAC-5229-2022</t>
  </si>
  <si>
    <t>Triggiani, Luca/0000-0003-0168-3432; Bernardi, Simona/0000-0002-3494-2624</t>
  </si>
  <si>
    <t>10.3390/biomedicines8050131</t>
  </si>
  <si>
    <t>WOS:000540842200035</t>
  </si>
  <si>
    <t>He, DG; Ho, SL; Chan, HN; Wang, HZ; Hai, L; He, XX; Wang, KM; Li, HW</t>
  </si>
  <si>
    <t>He, Dinggeng; Ho, See-Lok; Chan, Hei-Nga; Wang, Huizhen; Hai, Luo; He, Xiaoxiao; Wang, Kemin; Li, Hung-Wing</t>
  </si>
  <si>
    <t>Molecular-Recognition-Based DNA Nanodevices for Enhancing the Direct Visualization and Quantification of Single Vesicles of Tumor Exosomes in Plasma Microsamples</t>
  </si>
  <si>
    <t>ANALYTICAL CHEMISTRY</t>
  </si>
  <si>
    <t>EXTRACELLULAR VESICLES; ELECTROCHEMICAL DETECTION; SERUM SAMPLES; APTAMER; MICROVESICLES; APTASENSOR</t>
  </si>
  <si>
    <t>Tumor exosomes (Exo) are presumed to expedite both the growth and metastasis of tumors by actively participating in nearly all aspects of cancer development. Tumor-derived Exos are thus proposed as a resource for diagnostic biomarkers in bodily fluids. However, most Exo assays require large samples and are time-consuming, complicated, and costly, and thus unsuited for practical applications. Herein, we show an ultrasensitive assay that can directly visualize and quantify tumor Exos in plasma microsamples (1 mu L) at the single-vesicle level. The assay uses the specific binding of activatable aptamer probes (AAP) to target Exos captured by Exo-specific antibodies on the surface of a flow cell to produce activated fluorescence. Furthermore, the bound AAP triggers in situ assembly of a DNA nanodevice with enhanced fluorescence that improves the Exo-detection sensitivity. By identifying tyrosine-protein-kinase-like 7 (PTK7), a total-internal-reflection-fluorescence (TIRE) assay for PTK7-Exo distinguishes target tumors from control subjects. This assay is also informative in monitoring tumor progression and early responses to therapy. The developed assay can be readily adapted for diagnosis and monitoring of other disease-associated Exo biomarkers.</t>
  </si>
  <si>
    <t>[He, Dinggeng; Ho, See-Lok; Chan, Hei-Nga; Li, Hung-Wing] Hong Kong Baptist Univ, Dept Chem, Hong Kong, Peoples R China; [He, Dinggeng; Wang, Huizhen; Hai, Luo; He, Xiaoxiao; Wang, Kemin] Hunan Univ, Coll Chem &amp; Chem Engn, State Key Lab Chemo Biosensing &amp; Chemometr, Changsha 410006, Hunan, Peoples R China</t>
  </si>
  <si>
    <t>Hong Kong Baptist University; Hunan University</t>
  </si>
  <si>
    <t>Li, HW (corresponding author), Hong Kong Baptist Univ, Dept Chem, Hong Kong, Peoples R China.;He, XX; Wang, KM (corresponding author), Hunan Univ, Coll Chem &amp; Chem Engn, State Key Lab Chemo Biosensing &amp; Chemometr, Changsha 410006, Hunan, Peoples R China.</t>
  </si>
  <si>
    <t>xiaoxiaohe@hnu.edu.cn; kmwang@hnu.edu.cn; hwli@hkbu.edu.hk</t>
  </si>
  <si>
    <t>Hai, Luo/ABE-5483-2020; Chan, Hei-Nga/AAV-6976-2020</t>
  </si>
  <si>
    <t>Li, Hung Wing/0000-0003-4840-1965; Hai, Luo/0000-0001-8084-3742</t>
  </si>
  <si>
    <t>0003-2700</t>
  </si>
  <si>
    <t>1520-6882</t>
  </si>
  <si>
    <t>FEB 19</t>
  </si>
  <si>
    <t>10.1021/acs.analchem.8b04509</t>
  </si>
  <si>
    <t>WOS:000459642400030</t>
  </si>
  <si>
    <t>Rocca, A; Martelli, F; Delbue, S; Ferrante, P; Bartolozzi, D; Azzi, A; Giannecchini, S</t>
  </si>
  <si>
    <t>Rocca, Arianna; Martelli, Francesco; Delbue, Serena; Ferrante, Pasquale; Bartolozzi, Dario; Azzi, Alberta; Giannecchini, Simone</t>
  </si>
  <si>
    <t>The JCPYV DNA load inversely correlates with the viral microrna expression in blood and cerebrospinal fluid of patients at risk of PML</t>
  </si>
  <si>
    <t>JOURNAL OF CLINICAL VIROLOGY</t>
  </si>
  <si>
    <t>HIV; JCPyV; MicroRNA expression; Exosomes; PML</t>
  </si>
  <si>
    <t>PROGRESSIVE MULTIFOCAL LEUKOENCEPHALOPATHY; HUMAN POLYOMAVIRUSES; MIRNA; REPLICATION; STRAINS; JCV</t>
  </si>
  <si>
    <t>Background: In light of their regulatory role, changes in the expression of Polyomavirus JC (JCPyV) microRNAs may be relevant for virus reactivation and the development of progressive multifocal leukoencephalopathy (PML). Objectives: To investigate the presence of JCPyV-DNA and JCPyV microRNA expression in clinical specimens of patients at risk for PML. Study design: The JCPyV-DNA and microRNA status was assessed in peripheral blood mononuclear cells (PBMCs) and plasma from 100 HIV patients, in serum and cerebrospinal fluid (CSF) from 14 HIV PML patients and in PBMCs and plasma from 50 healthy controls using Multiplex real-time PCR and JCPyV miRNA-J1-3p and -5p stem-loop RT-PCR. The JCPyV-DNA microRNA-expressing region was also sequenced. Results: A positive JCPyV-DNA status was more prevalent in HIV patients (67%, 67/100) compared to healthy controls (18%, 9/50). Among these, 46% and 42% of the HIV patients and 18% and 0% of the healthy controls were positive based on PBMC and plasma determinations, respectively. PBMC JCPyV microRNA positivity was observed in 22 out of 46 (48%) JCPyV+HIV patients and in 3 out of 9 (33%) JCPyV+healthy controls. Moreover, JCPyV microRNAs in exosomes were found in 6 out of 100 (6%) HIV plasma samples, in 12 out of 50 (24%) healthy samples, in 6 out of 14 (43%) serum samples, and in 3 out of 5 (60%) HIV PML CSF samples. Of note, the JCPyV-DNA load was inversely correlated with expression of the viral microRNA. The JCPyV microRNA genomic expression region showed a different combination of three mutations. Conclusions: The low levels of JCPyV microRNA expression in HIV patients with high JCPyV-DNA prevalence observed in this study highlight the potential clinical relevance of JCPyV microRNAs in PML risk assessment. (C) 2015 Elsevier B.V. All rights reserved.</t>
  </si>
  <si>
    <t>[Rocca, Arianna; Martelli, Francesco; Azzi, Alberta; Giannecchini, Simone] Univ Florence, Dipartimento Med Sperimentale &amp; Clin, I-50134 Florence, Italy; [Bartolozzi, Dario] Univ Florence, Infect Dis Unit, Careggi Univ Hosp, I-50134 Florence, Italy; [Delbue, Serena; Ferrante, Pasquale] Univ Milan, Dept Biomed Surg &amp; Dent Sci, I-20122 Milan, Italy</t>
  </si>
  <si>
    <t>University of Florence; University of Florence; Azienda Ospedaliero Universitaria Careggi; University of Milan</t>
  </si>
  <si>
    <t>Giannecchini, S (corresponding author), Univ Florence, Dipartimento Med Sperimentale &amp; Clin, Viale Morgagni 48, I-50134 Florence, Italy.</t>
  </si>
  <si>
    <t>delbue, serena/A-1145-2010; Giannecchini, Simone/K-2136-2016</t>
  </si>
  <si>
    <t>Giannecchini, Simone/0000-0003-3374-7621; Delbue, Serena/0000-0002-3199-9369; Rocca, Arianna/0000-0002-7013-2362; Ferrante, Pasquale/0000-0001-7040-7293</t>
  </si>
  <si>
    <t>1386-6532</t>
  </si>
  <si>
    <t>1873-5967</t>
  </si>
  <si>
    <t>10.1016/j.jcv.2015.06.104</t>
  </si>
  <si>
    <t>WOS:000360075100001</t>
  </si>
  <si>
    <t>Mork, M; Andreasen, JJ; Rasmussen, LH; Lip, GYH; Pedersen, S; Baek, R; Jorgensen, MM; Kristensen, SR</t>
  </si>
  <si>
    <t>Mork, Morten; Andreasen, Jan J.; Rasmussen, Lars H.; Lip, Gregory Y. H.; Pedersen, Shona; Baek, Rikke; Jorgensen, Malene M.; Kristensen, Soren R.</t>
  </si>
  <si>
    <t>Elevated blood plasma levels of tissue factor-bearing extracellular vesicles in patients with atrial fibrillation</t>
  </si>
  <si>
    <t>THROMBOSIS RESEARCH</t>
  </si>
  <si>
    <t>Atrial fibrillation; Extracellular vesicles; Tissue factor; Thrombogenicity; Left atrial appendage</t>
  </si>
  <si>
    <t>NANOPARTICLE TRACKING ANALYSIS; PLATELET MICROPARTICLE LEVELS; PROTHROMBOTIC STATE; THROMBOSIS; APPENDAGE; PROTEIN</t>
  </si>
  <si>
    <t>Background: The risk of thrombus formation in the left atrial appendage (LAA) in patients with atrial fibrillation (AF) may result from blood stasis, local endocardial changes, and/or changed blood composition. Extracellular vesicles (EVs), especially subtypes exposing tissue factor (TF), have procoagulant capacity. We hypothesized that blood concentrations of TF-bearing EVs and other procoagulant biomarkers are elevated in AF patients, particularly in the LAA lumen. Methods: From 13 AF patients and 12 controls a venous blood sample was drawn prior to cardiac surgery. Intraoperatively, venous blood and blood directly from the LAA was drawn. Plasma levels of EVs, including TF- and cell type specific antigen-bearing EVs, were measured using a protein microarray platform. Plasma levels of TF, von Willebrand factor (vWF), cell free deoxyribonucleic acid (cf-DNA), procoagulant phospholipids (PPLs), and total submicron particles were also evaluated. Results: Significantly higher EV levels, including a several-fold higher median level of TF-bearing EVs were measured in AF patients compared with controls. Median concentrations of TF and vWF were approximately 40% and 30% higher, respectively, in the AF group than in the control group, while no significant differences in levels of cf-DNA, PPLs, or total submicron particles were observed. No significant differences in levels of any of the measured analytes were observed between intraoperative venous and LAA samples. Conclusions: Increased plasma concentrations of TF in AF patients are accompanied and probably at least partly explained by increased levels of TF-bearing EVs, which may be mechanistically involved in increased thrombogenicity in AF patients.</t>
  </si>
  <si>
    <t>[Mork, Morten; Pedersen, Shona; Kristensen, Soren R.] Aalborg Univ Hosp, Dept Clin Biochem, Hobrovej 18-22, DK-9000 Aalborg, Denmark; [Andreasen, Jan J.] Aalborg Univ Hosp, Dept Cardiothorac Surg, Hobrovej 18-22, DK-9000 Aalborg, Denmark; [Andreasen, Jan J.; Rasmussen, Lars H.; Lip, Gregory Y. H.; Pedersen, Shona; Kristensen, Soren R.] Aalborg Univ, Dept Clin Med, Sondre Skovvej 15, DK-9000 Aalborg, Denmark; [Baek, Rikke; Jorgensen, Malene M.] Aalborg Univ Hosp, Dept Clin Immunol, Urbansgade 32, DK-9000 Aalborg, Denmark; [Mork, Morten; Andreasen, Jan J.; Rasmussen, Lars H.; Kristensen, Soren R.] Aalborg Univ Hosp, Aalborg AF Study Grp, Hobrovej 18-22, DK-9000 Aalborg, Denmark; Univ Birmingham, Inst Cardiovasc Sci, Birmingham B15 2TT, W Midlands, England; [Mork, Morten; Pedersen, Shona; Baek, Rikke; Jorgensen, Malene M.; Kristensen, Soren R.] EVsearch Dk, Aalborg, Denmark</t>
  </si>
  <si>
    <t>Aalborg University; Aalborg University; Aalborg University; Aalborg University; Aalborg University; University of Birmingham</t>
  </si>
  <si>
    <t>Mork, M (corresponding author), Aalborg Univ Hosp, Dept Clin Biochem, Hobrovej 18-22, DK-9000 Aalborg, Denmark.</t>
  </si>
  <si>
    <t>morten.moerk@rn.dk; jja@rn.dk; lhr@adm.aau.dk; G.Y.H.Lip@bham.ac.uk; shp@rn.dk; rikke.baek@rn.dk; maljoe@rn.dk; srk@rn.dk</t>
  </si>
  <si>
    <t>Joergensen, Malene/AFS-0738-2022</t>
  </si>
  <si>
    <t>Pedersen, Shona/0000-0001-6636-0293; Jorgensen, Malene Moller/0000-0003-1381-3863</t>
  </si>
  <si>
    <t>0049-3848</t>
  </si>
  <si>
    <t>10.1016/j.thromres.2018.11.026</t>
  </si>
  <si>
    <t>WOS:000454370700022</t>
  </si>
  <si>
    <t>Kaddour, H; Lyu, Y; Shouman, N; Mohan, M; Okeoma, CM</t>
  </si>
  <si>
    <t>Kaddour, Hussein; Lyu, Yuan; Shouman, Nadia; Mohan, Mahesh; Okeoma, Chioma M.</t>
  </si>
  <si>
    <t>Development of Novel High-Resolution Size-Guided Turbidimetry-Enabled Particle Purification Liquid Chromatography (PPLC): Extracellular Vesicles and Membraneless Condensates in Focus</t>
  </si>
  <si>
    <t>extracellular vesicles (EVs); exosomes; membraneless condensates (MCs); gradient size exclusion chromatography (gSEC); UV-Vis spectroscopy</t>
  </si>
  <si>
    <t>LIGHT-SCATTERING; SEMINAL PLASMA; EXOSOMES; SEMEN; NANOPARTICLES; DYNAMICS; HIV-1; APPROXIMATION; TRANSMISSION; REPLICATION</t>
  </si>
  <si>
    <t>Acellular particles (extracellular vesicles and membraneless condensates) have important research, drug discovery, and therapeutic implications. However, their isolation and retrieval have faced enormous challenges, impeding their use. Here, a novel size-guided particle purification liquid chromatography (PPLC) is integrated into a turbidimetry-enabled system for dye-free isolation, online characterization, and retrieval of intact acellular particles from biofluids. The chromatographic separation of particles from different biofluids-semen, blood, urine, milk, and cell culture supernatants-is achieved using a first-in-class gradient size exclusion column (gSEC). Purified particles are collected using a fraction collector. Online UV-Vis monitoring reveals biofluid-dependent particle spectral differences, with semen being the most complex. Turbidimetry provides the accurate physical characterization of seminal particle (Sp) lipid contents, sizes, and concentrations, validated by a nanoparticle tracking analysis, transmission electron microscopy, and naphthopyrene assay. Furthermore, different fractions of purified Sps contain distinct DNA, RNA species, and protein compositions. The integration of Sp physical and compositional properties identifies two archetypal membrane-encased seminal extracellular vesicles (SEV)-notably SEV large (SEVL), SEV small (SEVS), and a novel non-archetypal-membraneless Sps, herein named membraneless condensates (MCs). This study demonstrates a comprehensive yet affordable platform for isolating, collecting, and analyzing acellular particles to facilitate extracellular particle research and applications in drug delivery and therapeutics. Ongoing efforts focus on increased resolution by tailoring bead/column chemistry for each biofluid type.</t>
  </si>
  <si>
    <t>[Kaddour, Hussein; Lyu, Yuan; Shouman, Nadia; Okeoma, Chioma M.] SUNY Stony Brook, Dept Pharmacol, Renaissance Sch Med, Stony Brook, NY 11794 USA; [Mohan, Mahesh] Texas Biomed Res Inst, Southwest Natl Primate Res Ctr, Host Pathogen Interact Program, San Antonio, TX 78227 USA</t>
  </si>
  <si>
    <t>State University of New York (SUNY) System; State University of New York (SUNY) Stony Brook; Stony Brook University Hospital; Texas Biomedical Research Institute</t>
  </si>
  <si>
    <t>Okeoma, CM (corresponding author), SUNY Stony Brook, Dept Pharmacol, Renaissance Sch Med, Stony Brook, NY 11794 USA.</t>
  </si>
  <si>
    <t>hussein.kaddour@stonybrook.edu; yuan.lyu@stonybrook.edu; nadia.shouman@stonybrook.edu; mmohan@txbiomed.org; chioma.okeoma@stonybrook.edu</t>
  </si>
  <si>
    <t>Lyu, Yuan/ABI-4182-2020; Kaddour, Hussein/P-4255-2016</t>
  </si>
  <si>
    <t>Lyu, Yuan/0000-0003-4351-5672; Kaddour, Hussein/0000-0002-4371-0809; Mohan, Mahesh/0000-0003-4360-3277; Okeoma, Chioma/0000-0001-7737-6493</t>
  </si>
  <si>
    <t>10.3390/ijms21155361</t>
  </si>
  <si>
    <t>WOS:000559072800001</t>
  </si>
  <si>
    <t>Higuchi, MD; Kawakami, JT; Ikegami, RN; Reis, MM; Pereira, JD; Ianni, BM; Buck, P; Oliveira, LMD; Santos, MHH; Hajjar, LA; Bocchi, EA</t>
  </si>
  <si>
    <t>Higuchi, Maria de Lourdes; Kawakami, Joyce T.; Ikegami, Renata N.; Reis, Marcia M.; Pereira, Jaqueline de Jesus; Ianni, Barbara M.; Buck, Paula; da Silva Oliveira, Luanda Mara; Santos, Marilia H. H.; Hajjar, Ludhmila A.; Bocchi, Edimar A.</t>
  </si>
  <si>
    <t>Archaea Symbiont of T. cruzi Infection May Explain Heart Failure in Chagas Disease</t>
  </si>
  <si>
    <t>FRONTIERS IN CELLULAR AND INFECTION MICROBIOLOGY</t>
  </si>
  <si>
    <t>heart failure; microvesicles; Chagas disease; exosomes; biomarkers</t>
  </si>
  <si>
    <t>MICROPARTICLES; CARDIOMYOPATHY; ASSOCIATION; MYOCARDITIS; PROTEASOME; EXOSOMES; CELLS; IDENTIFICATION; QUANTITATION; PATHOGENESIS</t>
  </si>
  <si>
    <t>Background: Archaeal genes present in Trypanosoma cruzi may represent symbionts that would explain development of heart failure in 30% of Chagas disease patients. Extracellular vesicles in peripheral blood, called exosomes (&lt;0.1 mu m) or microvesicles (&gt;0.1 mu m), present in larger numbers in heart failure, were analyzed to determine whether they are derived from archaea in heart failure Chagas disease. Methods: Exosomes and microvesicles in serum supernatant from 3 groups were analyzed: heart failure Chagas disease (N = 26), asymptomatic indeterminate form (N = 21) and healthy non-chagasic control (N = 16). Samples were quantified with transmission electron microscopy, flow cytometer immunolabeled with anti-archaemetzincin-1 antibody (AMZ 1, archaea collagenase) and probe anti-archaeal DNA and zymography to determine AMZ1 (Archaeal metalloproteinase) activity. Results: Indeterminate form patients had higher median numbers of exosomes/case vs. heart failure patients (58.5 vs. 25.5, P &lt; 0.001), higher exosome content of AMZ1 antigens (2.0 vs. 0.0; P &lt; 0.001), and lower archaeal DNA content (0.2 vs. 1.5, P = 0.02). A positive correlation between exosomes and AMZ1 content was seen in indeterminate form (r = 0.5, P &lt; 0.001), but not in heart failure patients (r = 0.002, P = 0.98). Higher free archaeal DNA (63.0 vs. 11.1, P &lt; 0.001) in correlation with exosome numbers (r = 0.66, P = 0.01) was seen in heart failure but not in indeterminate form (r = 0.29, P = 0.10). Flow cytometer showed higher numbers of AMZ1 microvesicles in indeterminate form (64 vs. 36, P = 0.02) and higher archaeal DNA microvesicles in heart failure (8.1 vs. 0.9, P &lt; 0.001). Zymography showed strong% collagenase activity in HF group, mild activity in IF compared to non-chagasic healthy group (121 +/- 14, 106 +/- 13 and 100; P &lt; 0.001). Conclusions: Numerous exosomes, possibly removing and degrading abnormal AMZ1 collagenase, are associated with indeterminate form. Archaeal microvesicles and their exosomes, possibly associated with release of archaeal AMZ1 in heart failure, are future candidates of heart failure biomarkers if confirmed in larger series, and the therapeutic focus in the treatment of Chagas disease.</t>
  </si>
  <si>
    <t>[Higuchi, Maria de Lourdes; Kawakami, Joyce T.; Ikegami, Renata N.; Reis, Marcia M.; Pereira, Jaqueline de Jesus; Ianni, Barbara M.; Buck, Paula; da Silva Oliveira, Luanda Mara; Santos, Marilia H. H.; Hajjar, Ludhmila A.; Bocchi, Edimar A.] Univ Sao Paulo, Fac Med, Hosp Clin HCFMUSP, Inst Coracao, Sao Paulo, Brazil</t>
  </si>
  <si>
    <t>Universidade de Sao Paulo</t>
  </si>
  <si>
    <t>Higuchi, MD (corresponding author), Univ Sao Paulo, Fac Med, Hosp Clin HCFMUSP, Inst Coracao, Sao Paulo, Brazil.</t>
  </si>
  <si>
    <t>anplourdes@incor.usp.br</t>
  </si>
  <si>
    <t>da Silva Oliveira, Luanda Mara/E-7273-2013; Ianni, Barbara Maria/C-7689-2012; de Lourdes Higuchi, Maria/K-3886-2017; Buck, Paula C/F-8781-2012</t>
  </si>
  <si>
    <t>da Silva Oliveira, Luanda Mara/0000-0003-0903-8219; Ianni, Barbara Maria/0000-0002-1588-5492; de Lourdes Higuchi, Maria/0000-0002-1673-6456; Buck, Paula C/0000-0002-1411-4485; SANTOS, MARILIA/0000-0003-4107-0470; Abrahao Hajjar, Ludhmila/0000-0001-5645-2055</t>
  </si>
  <si>
    <t>2235-2988</t>
  </si>
  <si>
    <t>NOV 21</t>
  </si>
  <si>
    <t>10.3389/fcimb.2018.00412</t>
  </si>
  <si>
    <t>Immunology; Microbiology</t>
  </si>
  <si>
    <t>WOS:000450940900001</t>
  </si>
  <si>
    <t>Giordano, L; Gregory, AD; Verdaguer, MP; Ware, SA; Harvey, H; DeVallance, E; Brzoska, T; Sundd, P; Zhang, YZ; Sciurba, FC; Shapiro, SD; Kaufman, BA</t>
  </si>
  <si>
    <t>Giordano, Luca; Gregory, Alyssa D.; Perez Verdaguer, Mireia; Ware, Sarah A.; Harvey, Hayley; DeVallance, Evan; Brzoska, Tomasz; Sundd, Prithu; Zhang, Yingze; Sciurba, Frank C.; Shapiro, Steven D.; Kaufman, Brett A.</t>
  </si>
  <si>
    <t>Extracellular Release of Mitochondrial DNA: Triggered by Cigarette Smoke and Detected in COPD</t>
  </si>
  <si>
    <t>CELLS</t>
  </si>
  <si>
    <t>cigarette smoke; COPD; mitochondria; cell-free DNA; oxidative stress; senescence; necroptosis; extracellular vesicles</t>
  </si>
  <si>
    <t>OBSTRUCTIVE PULMONARY-DISEASE; EPITHELIAL-CELLS; EMPHYSEMA; DAMAGE; INFLAMMATION; PATHOGENESIS; DEGRADATION; NEUTROPHIL; CYTOKINES; PROTECTS</t>
  </si>
  <si>
    <t>Cigarette smoke (CS) is the most common risk factor for chronic obstructive pulmonary disease (COPD). The present study aimed to elucidate whether mtDNA is released upon CS exposure and is detected in the plasma of former smokers affected by COPD as a possible consequence of airway damage. We measured cell-free mtDNA (cf-mtDNA) and nuclear DNA (cf-nDNA) in COPD patient plasma and mouse serum with CS-induced emphysema. The plasma of patients with COPD and serum of mice with CS-induced emphysema showed increased cf-mtDNA levels. In cell culture, exposure to a sublethal dose of CSE decreased mitochondrial membrane potential, increased oxidative stress, dysregulated mitochondrial dynamics, and triggered mtDNA release in extracellular vesicles (EVs). Mitochondrial DNA release into EVs occurred concomitantly with increased expression of markers that associate with DNA damage responses, including DNase III, DNA-sensing receptors (cGAS and NLRP3), proinflammatory cytokines (IL-1 beta, IL-6, IL-8, IL-18, and CXCL2), and markers of senescence (p16 and p21); the majority of the responses are also triggered by cytosolic DNA delivery in vitro. Exposure to a lethal CSE dose preferentially induced mtDNA and nDNA release in the cell debris. Collectively, the results of this study associate markers of mitochondrial stress, inflammation, and senescence with mtDNA release induced by CSE exposure. Because high cf-mtDNA is detected in the plasma of COPD patients and serum of mice with emphysema, our findings support the future study of cf-mtDNA as a marker of mitochondrial stress in response to CS exposure and COPD pathology.</t>
  </si>
  <si>
    <t>[Giordano, Luca; Ware, Sarah A.; Harvey, Hayley; Kaufman, Brett A.] Univ Pittsburgh, Dept Med, Div Cardiol, Ctr Metab &amp; Mitochondrial Med, Pittsburgh, PA 15261 USA; [Giordano, Luca; DeVallance, Evan; Brzoska, Tomasz; Sundd, Prithu; Kaufman, Brett A.] Univ Pittsburgh, Heart Lung &amp; Blood Vasc Med Inst, Pittsburgh, PA 15261 USA; [Gregory, Alyssa D.; Sundd, Prithu; Zhang, Yingze; Sciurba, Frank C.; Shapiro, Steven D.] Univ Pittsburgh, Dept Med, Div Pulm Allergy &amp; Crit Care Med, Pittsburgh, PA 15213 USA; [Perez Verdaguer, Mireia] Univ Pittsburgh, Sch Med, Dept Cell Biol, Pittsburgh, PA 15261 USA; [Brzoska, Tomasz] Univ Pittsburgh, Sch Med, Div Hematol Oncol, Pittsburgh, PA 15261 USA; [Sundd, Prithu] Univ Pittsburgh, Dept Bioengn, Pittsburgh, PA 15261 USA</t>
  </si>
  <si>
    <t>Pennsylvania Commonwealth System of Higher Education (PCSHE); University of Pittsburgh; Pennsylvania Commonwealth System of Higher Education (PCSHE); University of Pittsburgh; Pennsylvania Commonwealth System of Higher Education (PCSHE); University of Pittsburgh; Pennsylvania Commonwealth System of Higher Education (PCSHE); University of Pittsburgh; Pennsylvania Commonwealth System of Higher Education (PCSHE); University of Pittsburgh; Pennsylvania Commonwealth System of Higher Education (PCSHE); University of Pittsburgh</t>
  </si>
  <si>
    <t>Giordano, L; Kaufman, BA (corresponding author), Univ Pittsburgh, Dept Med, Div Cardiol, Ctr Metab &amp; Mitochondrial Med, Pittsburgh, PA 15261 USA.;Giordano, L; Kaufman, BA (corresponding author), Univ Pittsburgh, Heart Lung &amp; Blood Vasc Med Inst, Pittsburgh, PA 15261 USA.</t>
  </si>
  <si>
    <t>giordano@pitt.edu; adg56@pitt.edu; mip85@pitt.edu; adg56@pitt.edu; hah85@pitt.edu; devallan@pitt.edu; brzoskat@pitt.edu; prs51@pitt.edu; zhang3@pitt.edu; fcs@pitt.edu; shapirosd@upmc.edu; bkauf@pitt.edu</t>
  </si>
  <si>
    <t>Giordano, Luca/0000-0001-6315-7361; sciurba, frank/0000-0001-7468-2225</t>
  </si>
  <si>
    <t>2073-4409</t>
  </si>
  <si>
    <t>10.3390/cells11030369</t>
  </si>
  <si>
    <t>WOS:000759619200001</t>
  </si>
  <si>
    <t>Miao, P; Ma, XY; Xie, LJ; Tang, YG; Sun, XH; Wen, Z; Wang, ZL</t>
  </si>
  <si>
    <t>Miao, Peng; Ma, Xiaoyi; Xie, Lingjie; Tang, Yuguo; Sun, Xuhui; Wen, Zhen; Wang, Zhonglin</t>
  </si>
  <si>
    <t>Tetrahedral DNA mediated direct quantification of exosomes by contact-electrification effect</t>
  </si>
  <si>
    <t>NANO ENERGY</t>
  </si>
  <si>
    <t>Triboelectric nanogenerator; Contact-electrification effect; Aptamer; Exosome; Tetrahedral DNA</t>
  </si>
  <si>
    <t>PROBE FORCE MICROSCOPY; ELECTROCHEMICAL DETECTION; APTASENSOR; MICRORNA; ENERGY</t>
  </si>
  <si>
    <t>Exosomes are membrane-enclosed extracellular vesicles carrying multiple biomolecules for intercellular communications. Accurate detection of exosomes could provide critical clinical information and show great significance for early diagnosis and personalized therapy of cancer. In this work, we propose a triboelectric sensing strategy for direct quantification of exosomes based on the contact-electrification effect. The target exosomes can be selectively captured on the three-dimensional tetrahedral DNA (TDNA) monolayer. The electrons transfer between abundant amino groups from exosomes and the tribo-materials contribute to the measured signal. Due to the specific output characteristic, it is able to directly discriminate 3 exosomes /mu L with a linear range from 20 to 1000 exosomes/mu L, even without any signal amplification. The challenges for distinguishing different cell linederived exosomes and anti-interference in complicated biological serum systems show good performances. The presence of target exosomes can also be easily determined by visual observation of LED lighted by the generated electric energy. The proposed method can be used as a powerful tool for ultrasensitive analysis of exosomes, which is expected to have broad biological and analytical applications.</t>
  </si>
  <si>
    <t>[Miao, Peng; Ma, Xiaoyi; Tang, Yuguo] Chinese Acad Sci, Suzhou Inst Biomed Engn &amp; Technol, Suzhou 215163, Peoples R China; [Wang, Zhonglin] Chinese Acad Sci, Beijing Inst Nanoenergy &amp; Nanosyst, Beijing 100083, Peoples R China; [Xie, Lingjie; Sun, Xuhui; Wen, Zhen] Soochow Univ, Inst Funct Nano &amp; Soft Mat FUNSOM, Jiangsu Key Lab Carbon Based Funct Mat &amp; Devices, Suzhou 215123, Peoples R China; [Wang, Zhonglin] Georgia Inst Technol, Sch Mat Sci &amp; Engn, Atlanta, GA 30332 USA</t>
  </si>
  <si>
    <t>Chinese Academy of Sciences; Suzhou Institute of Biomedical Engineering &amp; Technology, CAS; Chinese Academy of Sciences; Beijing Institute of Nanoenergy &amp; Nanosystems, CAS; Soochow University - China; University System of Georgia; Georgia Institute of Technology</t>
  </si>
  <si>
    <t>Wang, ZL (corresponding author), Chinese Acad Sci, Beijing Inst Nanoenergy &amp; Nanosyst, Beijing 100083, Peoples R China.;Wen, Z (corresponding author), Soochow Univ, Inst Funct Nano &amp; Soft Mat FUNSOM, Jiangsu Key Lab Carbon Based Funct Mat &amp; Devices, Suzhou 215123, Peoples R China.</t>
  </si>
  <si>
    <t>wenzhen2011@suda.edu.cn; zhong.wang@mse.gatech.edu</t>
  </si>
  <si>
    <t>Wen, Zhen/B-2462-2016</t>
  </si>
  <si>
    <t>Wen, Zhen/0000-0001-9780-6876</t>
  </si>
  <si>
    <t>2211-2855</t>
  </si>
  <si>
    <t>2211-3282</t>
  </si>
  <si>
    <t>10.1016/j.nanoen.2021.106781</t>
  </si>
  <si>
    <t>DEC 2021</t>
  </si>
  <si>
    <t>Chemistry, Physical; Nanoscience &amp; Nanotechnology; Materials Science, Multidisciplinary; Physics, Applied</t>
  </si>
  <si>
    <t>Chemistry; Science &amp; Technology - Other Topics; Materials Science; Physics</t>
  </si>
  <si>
    <t>WOS:000726773700001</t>
  </si>
  <si>
    <t>Zhang, JL; Shi, JJ; Zhang, HL; Zhu, YF; Liu, W; Zhang, KX; Zhang, ZZ</t>
  </si>
  <si>
    <t>Zhang, Junli; Shi, Jinjin; Zhang, Hongling; Zhu, Yifan; Liu, Wei; Zhang, Kaixiang; Zhang, Zhenzhong</t>
  </si>
  <si>
    <t>Localized fluorescent imaging of multiple proteins on individual extracellular vesicles using rolling circle amplification for cancer diagnosis</t>
  </si>
  <si>
    <t>cancer diagnosis; cancer subtype differentiation; individual extracellular vesicles heterogeneity; localized fluorescent imaging; rolling circle amplification</t>
  </si>
  <si>
    <t>ADHESION MOLECULE EPCAM; EARLY BREAST-CANCER; SURFACE-PROTEINS; EXOSOMES; MUC1; MICROVESICLES; EXPRESSION; BIOMARKERS; LEUKEMIA; BIOPSY</t>
  </si>
  <si>
    <t>Extracellular vesicles (EV) have attracted increasing attention as tumour biomarkers due to their unique biological property. However, conventional methods for EV analysis are mainly based on bulk measurements, which masks the EV-to-EV heterogeneity in tumour diagnosis and classification. Herein, a localized fluorescent imaging method (termed Digital Profiling of Proteins on Individual EV, DPPIE) was developed for analysis of multiple proteins on individual EV. In this assay, an anti-CD9 antibody engineered biochip was used to capture EV from clinical plasma sample. Then the captured EV was specifically recognized by multiple DNA aptamers (CD63/EpCAM/MUC1), followed by rolling circle amplification to generate localized fluorescent signals. By-analyzing the heterogeneity of individual EV, we found that the high-dimensional data collected from each individual EV would provide more precise information than bulk measurement (ELISA) and the percent of CD63/EpCAM/MUC1-triple-positive EV in breast cancer patients was significantly higher than that of healthy donors, and this method can achieve an overall accuracy of 91%. Moreover, using DPPIE, we are able to distinguish the EV between lung adenocarcinoma and lung squamous carcinoma patients. This individual EV heterogeneity analysis strategy provides a new way for digging more information on EV to achieve multi-cancer diagnosis and classification.</t>
  </si>
  <si>
    <t>[Zhang, Junli; Shi, Jinjin; Zhang, Hongling; Zhu, Yifan; Liu, Wei; Zhang, Kaixiang; Zhang, Zhenzhong] Zhengzhou Univ, Sch Pharmaceut Sci, Henan Key Lab Targeting Therapy &amp; Diag Crit Dis, Zhengzhou 450001, Peoples R China</t>
  </si>
  <si>
    <t>Zhengzhou University</t>
  </si>
  <si>
    <t>Zhang, KX; Zhang, ZZ (corresponding author), Zhengzhou Univ, Sch Pharmaceut Sci, Henan Key Lab Targeting Therapy &amp; Diag Crit Dis, Zhengzhou 450001, Peoples R China.</t>
  </si>
  <si>
    <t>zhangkx@zzu.edu.cn; zhangzhenzhong@zzu.edu.cn</t>
  </si>
  <si>
    <t>e12025</t>
  </si>
  <si>
    <t>10.1002/jev2.12025</t>
  </si>
  <si>
    <t>WOS:000610415200005</t>
  </si>
  <si>
    <t>Winters, CM; Hong-Brown, LQ; Chiang, HL</t>
  </si>
  <si>
    <t>Winters, Chelsea M.; Hong-Brown, Ly Q.; Chiang, Hui-Ling</t>
  </si>
  <si>
    <t>The Shape of Vesicle-Containing Organelles Is Critical for Their Functions in Vesicle Endocytosis</t>
  </si>
  <si>
    <t>Pil1p; eisosomes; extracellular vesicles; vacuole import; degradation</t>
  </si>
  <si>
    <t>VID VESICLES; EXTRACELLULAR VESICLES; DEGRADATION PATHWAY; VACUOLE IMPORT; SACCHAROMYCES-CEREVISIAE; ACTIN PATCHES; FRUCTOSE-1,6-BISPHOSPHATASE; PROTEIN; ORGANIZATION; ASSOCIATION</t>
  </si>
  <si>
    <t>Exosomes are small vesicles secreted by a variety of cell types under physiological and pathological conditions. When Saccharomyces cerevisiae are grown in low glucose, small vesicles carrying more than 300 proteins with diverse biological functions are secreted. Upon glucose addition, secreted vesicles are endocytosed that requires cup-shaped organelles containing the major eisosome protein Pil1p at the rims. We aim to identify genes that regulate the function of cup-shaped organelles in vesicle endocytosis. In cells lacking either VID27 or VID21, Pil1p distribution was altered and cup-shaped organelles became elongated with narrower openings. Change in shape reduced the number of vesicles in the deeper areas and impaired vesicle endocytosis. Vid21p and Vid27p were localized to vesicle clusters and interacted with other Vid proteins. In the absence of these genes, these vesicles failed to aggregate and were secreted. Vid21p and Vid27p are required for the aggregation and retention of vesicles that contain Vid proteins in the cytoplasm. Increased vesicles near the plasma membrane in mutant strains correlate with an increased Pil1p movement resulting in the fusion of cup-shaped organelles. We conclude that the shape of vesicle-containing organelles is critical for their functions in vesicle endocytosis.</t>
  </si>
  <si>
    <t>[Winters, Chelsea M.; Hong-Brown, Ly Q.; Chiang, Hui-Ling] Penn State Univ, Dept Cellular &amp; Mol Physiol, Coll Med, 500 Univ Dr, Hershey, PA 17033 USA</t>
  </si>
  <si>
    <t>Pennsylvania Commonwealth System of Higher Education (PCSHE); Pennsylvania State University; Penn State Health</t>
  </si>
  <si>
    <t>Chiang, HL (corresponding author), Penn State Univ, Dept Cellular &amp; Mol Physiol, Coll Med, 500 Univ Dr, Hershey, PA 17033 USA.</t>
  </si>
  <si>
    <t>hchiang@pennstatehealth.psu.edu</t>
  </si>
  <si>
    <t>10.1089/dna.2017.3847</t>
  </si>
  <si>
    <t>WOS:000415091900005</t>
  </si>
  <si>
    <t>Kanwar, SS; Dunlay, CJ; Simeone, DM; Nagrath, S</t>
  </si>
  <si>
    <t>Kanwar, Shailender Singh; Dunlay, Christopher James; Simeone, Diane M.; Nagrath, Sunitha</t>
  </si>
  <si>
    <t>Microfluidic device (ExoChip) for on-chip isolation, quantification and characterization of circulating exosomes</t>
  </si>
  <si>
    <t>LAB ON A CHIP</t>
  </si>
  <si>
    <t>TUMOR-DERIVED EXOSOMES; EXTRACELLULAR VESICLES; DIAGNOSTIC BIOMARKERS; MICRORNA SIGNATURES; MEMBRANE-VESICLES; PANCREATIC-CANCER; MESSENGER-RNAS; OVARIAN-CANCER; CELLS; MICROVESICLES</t>
  </si>
  <si>
    <t>Membrane bound vesicles, including microvesicles and exosomes, are secreted by both normal and cancerous cells into the extracellular space and in blood circulation. These circulating extracellular vesicles (cirEVs) and exosomes in particular are recognized as a potential source of disease biomarkers. However, to exploit the use of circulatory exosomes as a biomarker, a rapid, high-throughput and reproducible method is required for their isolation and molecular analysis. We have developed a simple, low cost microfluidic-based platform to isolate cirEVs enriched in exosomes directly from blood serum allowing simultaneous capture and quantification of exosomes in a single device. To capture specific exosomes, we employed ExoChip, a microfluidic device fabricated in polydimethylsiloxane (PDMS) and functionalized with antibodies against CD63, an antigen commonly overexpressed in exosomes. Subsequent staining with a fluorescent carbocyanine dye (DiO) that specifically labels the exosomes, we quantitated exosomes using a standard plate-reader. Ten independent ExoChip experiments performed using serum obtained from five pancreatic cancer patients and five healthy individuals revealed a statistically significant increase (2.34 +/- 0.31 fold, p &lt; 0.001) in exosomes captured in cancer patients when compared to healthy individuals. Exosomal origins of ExoChip immobilized vesicles were further confirmed using immuno-electron-microscopy and Western blotting. In addition, we demonstrate the ability of ExoChip to recover exosomes with intact RNA enabling profiling of exosomal-microRNAs through openarray analysis, which has potential applications in biomarker discovery. Based on our findings, ExoChip is a well suited platform to be used as an exosome-based diagnostic and research tool for molecular screening of human cancers.</t>
  </si>
  <si>
    <t>[Kanwar, Shailender Singh; Dunlay, Christopher James; Nagrath, Sunitha] Univ Michigan, Coll Engn, Dept Chem Engn, Ann Arbor, MI 48109 USA; [Kanwar, Shailender Singh; Nagrath, Sunitha] Univ Michigan, Biointerfaces Inst, Ann Arbor, MI 48109 USA; [Simeone, Diane M.; Nagrath, Sunitha] Univ Michigan, Translat Oncol Program, Ann Arbor, MI 48109 USA; [Simeone, Diane M.] Univ Michigan, Dept Surg, Ann Arbor, MI 48109 USA; [Simeone, Diane M.] Univ Michigan, Dept Mol &amp; Integrat Physiol, Ann Arbor, MI 48109 USA</t>
  </si>
  <si>
    <t>University of Michigan System; University of Michigan; University of Michigan System; University of Michigan; University of Michigan System; University of Michigan; University of Michigan System; University of Michigan; University of Michigan System; University of Michigan</t>
  </si>
  <si>
    <t>Nagrath, S (corresponding author), Univ Michigan, Coll Engn, Dept Chem Engn, 2300 Hayward St, Ann Arbor, MI 48109 USA.</t>
  </si>
  <si>
    <t>snagrath@umich.edu</t>
  </si>
  <si>
    <t>1473-0197</t>
  </si>
  <si>
    <t>1473-0189</t>
  </si>
  <si>
    <t>10.1039/c4lc00136b</t>
  </si>
  <si>
    <t>Biochemical Research Methods; Chemistry, Multidisciplinary; Chemistry, Analytical; Nanoscience &amp; Nanotechnology; Instruments &amp; Instrumentation</t>
  </si>
  <si>
    <t>Biochemistry &amp; Molecular Biology; Chemistry; Science &amp; Technology - Other Topics; Instruments &amp; Instrumentation</t>
  </si>
  <si>
    <t>WOS:000335925400014</t>
  </si>
  <si>
    <t>Galindo-Hernandez, O; Gonzales-Vazquez, C; Cortes-Reynosa, P; Reyes-Uribe, E; Chavez-Ocana, S; Reyes-Hernandez, O; Sierra-Martinez, M; Salazar, EP</t>
  </si>
  <si>
    <t>Galindo-Hernandez, Octavio; Gonzales-Vazquez, Cristina; Cortes-Reynosa, Pedro; Reyes-Uribe, Emmanuel; Chavez-Ocana, Sonia; Reyes-Hernandez, Octavio; Sierra-Martinez, Mnica; Perez Salazar, Eduardo</t>
  </si>
  <si>
    <t>Extracellular vesicles from women with breast cancer promote an epithelial-mesenchymal transition-like process in mammary epithelial cells MCF10A</t>
  </si>
  <si>
    <t>TUMOR BIOLOGY</t>
  </si>
  <si>
    <t>Extracellular vesicles; Breast cancer; EMT; MCF10A</t>
  </si>
  <si>
    <t>NF-KAPPA-B; E-CADHERIN EXPRESSION; MOLECULAR-MECHANISMS; MICROVESICLES; MICROPARTICLES; PROGRESSION; METASTASIS; BIOMARKERS; TISSUE; COMMUNICATION</t>
  </si>
  <si>
    <t>Extracellular vesicles (EVs) mediate many stages of tumor progression including angiogenesis, escape from immune surveillance, and extracellular matrix degradation. We studied whether EVs from plasma of women with breast cancer are able to induce an epithelial-mesenchymal transition (EMT) process in mammary epithelial cells MCF10A. Our findings demonstrate that EVs from plasma of breast cancer patients induce a downregulation of E-cadherin expression and an increase of vimentin and N-cadherin expression. Moreover, EVs induce migration and invasion, as well as an increase of NF kappa B-DNA binding activity and MMP-2 and MMP-9 secretions. In summary, our findings demonstrate, for the first time, that EVs from breast cancer patients induce an EMT-like process in human mammary non-tumorigenic epithelial cells MCF10A.</t>
  </si>
  <si>
    <t>[Galindo-Hernandez, Octavio; Gonzales-Vazquez, Cristina; Cortes-Reynosa, Pedro; Reyes-Uribe, Emmanuel; Perez Salazar, Eduardo] Cinvestav IPN, Dept Biol Celular, Mexico City 07360, DF, Mexico; [Chavez-Ocana, Sonia; Reyes-Hernandez, Octavio; Sierra-Martinez, Mnica] Hosp Juarez Mexico, Lab Genet &amp; Diagnost Mol, Unidad Invest, Mexico City, DF, Mexico</t>
  </si>
  <si>
    <t>CINVESTAV - Centro de Investigacion y de Estudios Avanzados del Instituto Politecnico Nacional</t>
  </si>
  <si>
    <t>Salazar, EP (corresponding author), Cinvestav IPN, Dept Biol Celular, Av IPN 2508, Mexico City 07360, DF, Mexico.</t>
  </si>
  <si>
    <t>jperez@cell.cinvestav.mx</t>
  </si>
  <si>
    <t>Galindo-Hernandez, Octavio/R-2743-2016; URIBE, EMMANUEL REYES/AAV-8814-2020</t>
  </si>
  <si>
    <t>Galindo-Hernandez, Octavio/0000-0003-4960-7551; URIBE, EMMANUEL REYES/0000-0002-3602-9273; Gonzalez Vazquez, Maria Cristina/0000-0001-8062-4160</t>
  </si>
  <si>
    <t>1010-4283</t>
  </si>
  <si>
    <t>1423-0380</t>
  </si>
  <si>
    <t>10.1007/s13277-015-3711-9</t>
  </si>
  <si>
    <t>WOS:000367329300060</t>
  </si>
  <si>
    <t>Zhang, TM; Ma, SH; Lv, JK; Wang, XY; Afewerky, HK; Li, H; Lu, YM</t>
  </si>
  <si>
    <t>Zhang, Tongmei; Ma, Sehui; Lv, Junkai; Wang, Xinyuan; Afewerky, Henok Kessete; Li, Hao; Lu, Youming</t>
  </si>
  <si>
    <t>The emerging role of exosomes in Alzheimer's disease</t>
  </si>
  <si>
    <t>AGEING RESEARCH REVIEWS</t>
  </si>
  <si>
    <t>Alzheimer's disease; Exosomes; Pathogenesis; Diagnosis; Therapeutics</t>
  </si>
  <si>
    <t>ASTROCYTE-DERIVED EXOSOMES; EXTRACELLULAR VESICLES EXOSOMES; BLOOD-BRAIN-BARRIER; AMYLOID-BETA; PRECURSOR PROTEIN; MULTIVESICULAR BODIES; NEURONAL EXOSOMES; TRANSSYNAPTIC TRANSMISSION; SYNAPTIC DYSFUNCTION; CEREBROSPINAL-FLUID</t>
  </si>
  <si>
    <t>Alzheimer's disease (AD), manifested by memory loss and a decline in cognitive functions, is the most prevalent neurodegenerative disease accounting for 60-80 % of dementia cases. But, to-date, there is no effective treatment available to slow or stop the progression of AD. Exosomes are small extracellular vesicles that carry constituents, such as functional messenger RNAs, non-coding RNAs, proteins, lipids, DNA, and other bioactive substances of their source cells. In the brain, exosomes are likely to be sourced by almost all cell types and involve in cell communication to regulate cellular functions. The yet, accumulated evidence on the roles of exosomes and their constituents in the AD pathological process suggests their significance as additional biomarkers and therapeutic targets for AD. This review summarizes the current reported research findings on exosomes roles in the pathogenesis, diagnosis, and treatment of AD.</t>
  </si>
  <si>
    <t>[Zhang, Tongmei; Ma, Sehui; Lv, Junkai; Li, Hao; Lu, Youming] Huazhong Univ Sci &amp; Technol, Sch Basic Med, Dept Pathophysiol, Wuhan 430030, Peoples R China; [Zhang, Tongmei; Ma, Sehui; Lv, Junkai; Li, Hao; Lu, Youming] Huazhong Univ Sci &amp; Technol, Tongji Med Coll, Wuhan 430030, Peoples R China; [Zhang, Tongmei; Ma, Sehui; Lv, Junkai; Afewerky, Henok Kessete; Li, Hao; Lu, Youming] Huazhong Univ Sci &amp; Technol, Wuhan Ctr Brain Sci, Wuhan 430030, Peoples R China; [Zhang, Tongmei; Ma, Sehui; Lv, Junkai; Afewerky, Henok Kessete; Li, Hao; Lu, Youming] Huazhong Univ Sci &amp; Technol, Sch Basic Med, Dept Physiol, Wuhan 430030, Peoples R China; [Wang, Xinyuan] Huazhong Univ Sci &amp; Technol, Tongji Hosp, Tongji Med Coll, Dept Pediat, Wuhan 430030, Peoples R China; [Afewerky, Henok Kessete] Huazhong Univ Sci &amp; Technol, Sch Basic Med, Dept Neurobiol, Wuhan 430030, Peoples R China</t>
  </si>
  <si>
    <t>Huazhong University of Science &amp; Technology; Huazhong University of Science &amp; Technology; Huazhong University of Science &amp; Technology; Huazhong University of Science &amp; Technology; Huazhong University of Science &amp; Technology; Huazhong University of Science &amp; Technology</t>
  </si>
  <si>
    <t>Li, H; Lu, YM (corresponding author), Huazhong Univ Sci &amp; Technol, Sch Basic Med, Dept Pathophysiol, Wuhan 430030, Peoples R China.;Li, H; Lu, YM (corresponding author), Huazhong Univ Sci &amp; Technol, Tongji Med Coll, Wuhan 430030, Peoples R China.</t>
  </si>
  <si>
    <t>lihhhhao@hust.edu.cn; lym@hust.edu.cn</t>
  </si>
  <si>
    <t>Afewerky, Henok Kessete/AAD-4371-2022</t>
  </si>
  <si>
    <t>Afewerky, Henok Kessete/0000-0001-7030-3224; zhang, tongmei/0000-0002-5973-5795</t>
  </si>
  <si>
    <t>1568-1637</t>
  </si>
  <si>
    <t>1872-9649</t>
  </si>
  <si>
    <t>10.1016/j.arr.2021.101321</t>
  </si>
  <si>
    <t>MAR 2021</t>
  </si>
  <si>
    <t>WOS:000663077400012</t>
  </si>
  <si>
    <t>Mitchell, MI; Ben-Dov, IZ; Liu, C; Ye, K; Chow, K; Kramer, Y; Gangadharan, A; Park, S; Fitzgerald, S; Ramnauth, A; Perlin, DS; Donato, M; Bhoy, E; Doulabi, EM; Poulos, M; Kamali-Moghaddam, M; Loudig, O</t>
  </si>
  <si>
    <t>Mitchell, Megan, I; Ben-Dov, Iddo Z.; Liu, Christina; Ye, Kenny; Chow, Kar; Kramer, Yael; Gangadharan, Anju; Park, Steven; Fitzgerald, Sean; Ramnauth, Andrew; Perlin, David S.; Donato, Michele; Bhoy, Emily; Doulabi, Ehsan Manouchehri; Poulos, Michael; Kamali-Moghaddam, Masood; Loudig, Olivier</t>
  </si>
  <si>
    <t>Extracellular Vesicle Capture by AnTibody of CHoice and Enzymatic Release (EV-CATCHER): A customizable purification assay designed for small-RNA biomarker identification and evaluation of circulating small-EVs</t>
  </si>
  <si>
    <t>exosome purification; extracellular vesicles; micro-RNA profiling; sequencing; TEM</t>
  </si>
  <si>
    <t>TUMOR DNA; EXOSOMES; CANCER; MICRORNAS</t>
  </si>
  <si>
    <t>Circulating nucleic acids, encapsulated within small extracellular vesicles (EVs), provide a remote cellular snapshot of biomarkers derived from diseased tissues, however selective isolation is critical. Current laboratory-based purification techniques rely on the physical properties of small-EVs rather than their inherited cellular fingerprints. We established a highly-selective purification assay, termed EV-CATCHER, initially designed for high-throughput analysis of low-abundance small-RNA cargos by next-generation sequencing. We demonstrated its selectivity by specifically isolating and sequencing small-RNAs from mouse small-EVs spiked into human plasma. Western blotting, nanoparticle tracking, and transmission electron microscopy were used to validate and quantify the capture and release of intact small-EVs. As proof-of-principle for sensitive detection of circulating miRNAs, we compared small-RNA sequencing data from a subset of small-EVs serum-purified with EV-CATCHER to data from whole serum, using samples from a small cohort of recently hospitalized Covid-19 patients. We identified and validated, only in small-EVs, hsa-miR-146a and hsa-miR-126-3p to be significantly downregulated with disease severity. Separately, using convalescent sera from recovered Covid-19 patients with high anti-spike IgG titers, we confirmed the neutralizing properties, against SARS-CoV-2 in vitro, of a subset of small-EVs serum-purified by EV-CATCHER, as initially observed with ultracentrifuged small-EVs. Altogether our data highlight the sensitivity and versatility of EV-CATCHER.</t>
  </si>
  <si>
    <t>[Mitchell, Megan, I; Liu, Christina; Park, Steven; Fitzgerald, Sean; Perlin, David S.; Bhoy, Emily; Poulos, Michael; Loudig, Olivier] Hackensack Meridian Hlth, Ctr Discovery &amp; Innovat, Nutley, NJ USA; [Ben-Dov, Iddo Z.] Hadassah Hebrew Univ, Lab Med Transcript, Med Ctr, Jerusalem, Israel; [Ye, Kenny] Albert Einstein Coll Med, Dept Epidemiol &amp; Populat Hlth, Bronx, NY 10467 USA; [Chow, Kar; Kramer, Yael; Gangadharan, Anju; Donato, Michele] Hackensack Univ Med Ctr, Biorepository, Hackensack, NJ USA; [Ramnauth, Andrew] Weill Cornell Med, Dept Pathol &amp; Lab Med, New York, NY USA; [Doulabi, Ehsan Manouchehri; Kamali-Moghaddam, Masood] Uppsala Univ, Dept Immunol Genet &amp; Pathol, Sci Life Lab, Uppsala, Sweden</t>
  </si>
  <si>
    <t>Hebrew University of Jerusalem; Hadassah University Medical Center; Yeshiva University; Albert Einstein College of Medicine; Hackensack University Medical Center; Cornell University; Uppsala University</t>
  </si>
  <si>
    <t>Loudig, O (corresponding author), Ctr Discovery &amp; Innovat, Nutley, NJ 07110 USA.</t>
  </si>
  <si>
    <t>olivier.loudig@hmh-cdi.org</t>
  </si>
  <si>
    <t>Ben-Dov, Iddo/F-3282-2010; Ye, Kenny/U-2341-2019</t>
  </si>
  <si>
    <t>Ben-Dov, Iddo/0000-0002-9180-3604; Ye, Kenny/0000-0002-1466-855X; ManouchehriDoulabi, Ehsan/0000-0003-1639-2267; Park, Steven/0000-0002-6757-1559</t>
  </si>
  <si>
    <t>e12110</t>
  </si>
  <si>
    <t>10.1002/jev2.12110</t>
  </si>
  <si>
    <t>WOS:000657328100001</t>
  </si>
  <si>
    <t>Kim, KM; Meng, Q; de Acha, OP; Mustapic, M; Cheng, AW; Eren, E; Kundu, G; Piao, YL; Munk, R; Wood, WH; De, S; Noh, JH; Delannoy, M; Cheng, L; Abdelmohsen, K; Kapogiannis, D; Gorospe, M</t>
  </si>
  <si>
    <t>Kim, Kyoung Mi; Meng, Qiong; Perez de Acha, Olivia; Mustapic, Maja; Cheng, Aiwu; Eren, Erden; Kundu, Gautam; Piao, Yulan; Munk, Rachel; Wood, William H., III; De, Supriyo; Noh, Ji Heon; Delannoy, Michael; Cheng, Lesley; Abdelmohsen, Kotb; Kapogiannis, Dimitrios; Gorospe, Myriam</t>
  </si>
  <si>
    <t>Mitochondrial RNA in Alzheimer's Disease Circulating Extracellular Vesicles</t>
  </si>
  <si>
    <t>extracellular vesicles; Alzheimer&amp;#8217; s disease; mitochondrial protein; mitochondrial RNA; biomarker</t>
  </si>
  <si>
    <t>ASSOCIATION WORKGROUPS; DIAGNOSTIC GUIDELINES; NATIONAL INSTITUTE; RECOMMENDATIONS; EXOSOMES; ASTROCYTES; SERUM; DNA</t>
  </si>
  <si>
    <t>Alzheimer's disease (AD) is the most common type of dementia. Amyloid beta (A beta) plaques, tau-containing neurofibrillary tangles, and neuronal loss leading to brain atrophy are pathologic hallmarks of AD. Given the importance of early diagnosis, extensive efforts have been undertaken to identify diagnostic and prognostic biomarkers for AD. Circulating extracellular vesicles (EVs) provide a platform for liquid biopsy biomarkers for AD. Here, we characterized the RNA contents of plasma EVs of age-matched individuals who were cognitively normal (healthy controls (HC)) or had mild cognitive impairment (MCI) due to AD or had mild AD dementia (AD). Using RNA sequencing analysis, we found that mitochondrial (mt)-RNAs, including MT-ND1-6 mRNAs and other protein-coding and non-coding mt-RNAs, were strikingly elevated in plasma EVs of MCI and AD individuals compared with HC. EVs secreted from cultured astrocytes, microglia, and neurons after exposure to toxic conditions relevant to AD pathogenesis (A beta aggregates and H2O2), contained mitochondrial structures (detected by electron microscopy) and mitochondrial RNA and protein. We propose that in the AD brain, toxicity-causing mitochondrial damage results in the packaging of mitochondrial components for export in EVs and further propose that mt-RNAs in plasma EVs can be diagnostic and prognostic biomarkers for MCI and AD.</t>
  </si>
  <si>
    <t>[Kim, Kyoung Mi; Meng, Qiong; Perez de Acha, Olivia; Cheng, Aiwu; Kundu, Gautam; Piao, Yulan; Munk, Rachel; Wood, William H., III; De, Supriyo; Abdelmohsen, Kotb; Gorospe, Myriam] NIA, Lab Genet &amp; Genom, Intramural Res Program, NIH, Baltimore, MD 21224 USA; [Kim, Kyoung Mi] Chungnam Natl Univ, Dept Biol Sci, Daejeon, South Korea; [Mustapic, Maja; Eren, Erden; Kapogiannis, Dimitrios] NIA, Lab Clin Invest, Intramural Res Program, NIH, Baltimore, MD 21224 USA; [Noh, Ji Heon] Chungnam Natl Univ, Dept Biochem, Daejeon, South Korea; [Delannoy, Michael] Johns Hopkins Univ, Sch Med, Dept Cell Biol &amp; Imaging Facil, Baltimore, MD USA; [Cheng, Lesley] La Trobe Univ, Dept Biochem &amp; Genet, Sch Mol Sci, Melbourne, Vic, Australia</t>
  </si>
  <si>
    <t>National Institutes of Health (NIH) - USA; NIH National Institute on Aging (NIA); Chungnam National University; National Institutes of Health (NIH) - USA; NIH National Institute on Aging (NIA); Chungnam National University; Johns Hopkins University; La Trobe University</t>
  </si>
  <si>
    <t>Gorospe, M (corresponding author), NIA, Lab Genet &amp; Genom, Intramural Res Program, NIH, Baltimore, MD 21224 USA.;Kapogiannis, D (corresponding author), NIA, Lab Clin Invest, Intramural Res Program, NIH, Baltimore, MD 21224 USA.</t>
  </si>
  <si>
    <t>kapogiannisd@mail.nih.gov; myriam-gorospe@nih.gov</t>
  </si>
  <si>
    <t>Kim, Kyoung Mi/AAE-9847-2021; Kapogiannis, Dimitrios/AAW-4934-2020; Eren, Erden/AHA-0315-2022</t>
  </si>
  <si>
    <t>Kim, Kyoung Mi/0000-0002-2845-5678; Kapogiannis, Dimitrios/0000-0003-2181-3118; Eren, Erden/0000-0002-5190-9500; Meng, Qiong/0000-0002-8378-9021; Cheng, Lesley/0000-0002-8075-6144; Mustapic, Maja/0000-0003-0511-2047</t>
  </si>
  <si>
    <t>NOV 16</t>
  </si>
  <si>
    <t>10.3389/fcell.2020.581882</t>
  </si>
  <si>
    <t>WOS:000593926900001</t>
  </si>
  <si>
    <t>Abdouh, M; Floris, M; Gao, ZH; Arena, V; Arena, M; Arena, GO</t>
  </si>
  <si>
    <t>Abdouh, Mohamed; Floris, Matteo; Gao, Zu-Hua; Arena, Vincenzo; Arena, Manuel; Arena, Goffredo Orazio</t>
  </si>
  <si>
    <t>Colorectal cancer-derived extracellular vesicles induce transformation of fibroblasts into colon carcinoma cells</t>
  </si>
  <si>
    <t>Extracellular vesicles; Colorectal Cancer; Metastasis; Genetic material; Horizontal transfer</t>
  </si>
  <si>
    <t>E-CADHERIN; EXOSOMES; TRANSITIONS; METASTASIS; DNA; EXPRESSION; MICRORNAS; BIOMARKER; PLASMA; SERUM</t>
  </si>
  <si>
    <t>BackgroundWe reported that horizontal transfer of malignant traits to target cells is a potential pathway to explain cancer dissemination. Although these results were encouraging, they were never corroborated by data showing the molecular mechanisms responsible for the observed phenomenon.MethodsIn the present study, we exposed BRCA1-KO fibroblasts to extracellular vesicles (EVs) isolated from a colon cancer cell line (HT29) and from sera of patients with colorectal cancer. Three weeks after exposure, fibroblasts were injected subcutaneously into NOD-SCID mice. Whole genome sequencing, transcriptome analysis and RNA sequencing of cancer EVs and fibroblasts prior and after exposure to cancer EVs were performed.ResultsPhenotypical transformation of the fibroblasts into colon cancer cells was confirmed by histopathological study of the xenotransplants. We observed that EV-mediated transfer of cancer microRNAs was responsible for the transition from a mesenchymal to an epithelial phenotype (MET) in the treated fibroblasts as well as activation of cell cycle progression and cell survival pathways. DNA and RNA sequencing suggested that cancer DNA was transferred and possibly transcribed in target cells. Furthermore, injection of colon cancer EVs in the tail vein of NOD-SCID mice determined neoplastic transformation and metastases in the lungs of the mice confirming for the first time the hypothesis that transfer of malignant epithelial cancer traits to distant target cells is a concept applicable to in vivo models.ConclusionsThese discoveries shed new light into the molecular mechanisms behind the horizontal transfer of malignant traits and confirm the notion that metastatic disease might be reproduced through transfer of circulating genetic material.</t>
  </si>
  <si>
    <t>[Abdouh, Mohamed; Arena, Goffredo Orazio] McGill Univ, Canc Res Program, Hlth Ctr, Res Inst, 1001 Decarie Blvd, Montreal, PQ H4A 3J1, Canada; [Floris, Matteo] Sassari Univ, Dept Biomed Sci, Piazza Univ 11, Sassari, Italy; [Gao, Zu-Hua] McGill Univ, Dept Pathol, Hlth Ctr, Res Inst, 1001 Decarie Blvd, Montreal, PQ H4A 3J1, Canada; [Arena, Vincenzo] Santo Bambino Hosp, Dept Obstet &amp; Gynecol, Via Torre Vescovo 4, Catania, Italy; [Arena, Manuel] Univ Catania, Dept Surg Sci Organ Transplantat &amp; Adv Technol, Via Santa Sofia 84, Catania, Italy; [Arena, Goffredo Orazio] McGill Univ, St Mary Hosp, Dept Surg, 3830 Lacombe Ave, Montreal, PQ H3T 1M5, Canada</t>
  </si>
  <si>
    <t>McGill University; University of Sassari; McGill University; University of Catania; McGill University</t>
  </si>
  <si>
    <t>Arena, GO (corresponding author), McGill Univ, Canc Res Program, Hlth Ctr, Res Inst, 1001 Decarie Blvd, Montreal, PQ H4A 3J1, Canada.;Arena, GO (corresponding author), McGill Univ, St Mary Hosp, Dept Surg, 3830 Lacombe Ave, Montreal, PQ H3T 1M5, Canada.</t>
  </si>
  <si>
    <t>Floris, Matteo/ABH-1274-2020; arena, goffredo/AAR-5283-2020</t>
  </si>
  <si>
    <t>Floris, Matteo/0000-0003-4385-9336; Arena, Goffredo/0000-0002-5293-2972; Abdouh, Mohamed/0000-0003-0702-9335</t>
  </si>
  <si>
    <t>JUN 14</t>
  </si>
  <si>
    <t>10.1186/s13046-019-1248-2</t>
  </si>
  <si>
    <t>WOS:000471625700001</t>
  </si>
  <si>
    <t>Lin, XZ; Wei, FX; Major, P; Al-Nedawi, K; Al Saleh, HA; Tang, DM</t>
  </si>
  <si>
    <t>Lin, Xiaozeng; Wei, Fengxiang; Major, Pierre; Al-Nedawi, Khalid; Al Saleh, Hassan A.; Tang, Damu</t>
  </si>
  <si>
    <t>Microvesicles Contribute to the Bystander Effect of DNA Damage</t>
  </si>
  <si>
    <t>DNA damage response; microvesicles; gamma H2AX; ATM; ATR</t>
  </si>
  <si>
    <t>CHILDHOOD-CANCER; KINASES MODULATE; CERVICAL-CANCER; CELLS; REPAIR; ATR; RADIOTHERAPY; ACTIVATION; BREAST; PLASMA</t>
  </si>
  <si>
    <t>Genotoxic treatments elicit DNA damage response (DDR) not only in cells that are directly exposed but also in cells that are not in the field of treatment (bystander cells), a phenomenon that is commonly referred to as the bystander effect (BE). However, mechanisms underlying the BE remain elusive. We report here that etoposide and ultraviolet (UV) exposure stimulate the production of microvesicles (MVs) in DU145 prostate cancer cells. MVs isolated from UV-treated DU145 and A431 epidermoid carcinoma cells as well as etoposide-treated DU145 cells induced phosphorylation of ataxia-telangiectasia mutated (ATM) at serine 1981 (indicative of ATM activation) and phosphorylation of histone H2AX at serine 139 (gamma H2AX) in naive DU145 cells. Importantly, neutralization of MVs derived from UV-treated cells with annexin V significantly reduced the MV-associated BE activities. Etoposide and UV are known to induce DDR primarily through the ATM and ATM-and Rad3-related (ATR) pathways, respectively. In this regard, MV is likely a common source for the DNA damage-induced bystander effect. However, pre-treatment of DU145 naive cells with an ATM (KU55933) inhibitor does not affect the BE elicited by MVs isolated from etoposide-treated cells, indicating that the BE is induced upstream of ATM actions. Taken together, we provide evidence supporting that MVs are a source of the DNA damage-induced bystander effect.</t>
  </si>
  <si>
    <t>[Lin, Xiaozeng; Al-Nedawi, Khalid; Al Saleh, Hassan A.; Tang, Damu] McMaster Univ, Dept Med, Div Nephrol, Hamilton, ON L8N 4A6, Canada; [Lin, Xiaozeng; Al-Nedawi, Khalid; Al Saleh, Hassan A.; Tang, Damu] Father Sean OSullivan Res Inst, Hamilton, ON L8N 4A6, Canada; [Lin, Xiaozeng; Al-Nedawi, Khalid; Al Saleh, Hassan A.; Tang, Damu] St Josephs Hosp, Hamilton Ctr Kidney Res, Hamilton, ON L8N 4A6, Canada; [Wei, Fengxiang] Longgang Dist Matern &amp; Child Healthcare Hosp, Genet Lab, Shenzhen 518116, Guangdong, Peoples R China; [Major, Pierre] McMaster Univ, Dept Oncol, Hamilton, ON L8V 5C2, Canada</t>
  </si>
  <si>
    <t>McMaster University; McGill University; McMaster University; McMaster University</t>
  </si>
  <si>
    <t>Tang, DM (corresponding author), McMaster Univ, Dept Med, Div Nephrol, Hamilton, ON L8N 4A6, Canada.;Tang, DM (corresponding author), Father Sean OSullivan Res Inst, Hamilton, ON L8N 4A6, Canada.;Tang, DM (corresponding author), St Josephs Hosp, Hamilton Ctr Kidney Res, Hamilton, ON L8N 4A6, Canada.</t>
  </si>
  <si>
    <t>linx36@mcmaster.ca; haowei727499@163.com; pierrepaulmajor@gmail.com; alnedaw@mcmaster.ca; alsaleha@mcmaster.ca; damut@mcmaster.ca</t>
  </si>
  <si>
    <t>Tang, Damu/AAQ-1786-2021</t>
  </si>
  <si>
    <t>Tang, Damu/0000-0002-3282-9521</t>
  </si>
  <si>
    <t>10.3390/ijms18040788</t>
  </si>
  <si>
    <t>WOS:000402639400112</t>
  </si>
  <si>
    <t>Nair, RR; Mazza, D; Brambilla, F; Gorzanelli, A; Agresti, A; Bianchi, ME</t>
  </si>
  <si>
    <t>Nair, Rohini Ravindran; Mazza, Davide; Brambilla, Francesca; Gorzanelli, Andrea; Agresti, Alessandra; Bianchi, Marco E.</t>
  </si>
  <si>
    <t>LPS-Challenged Macrophages Release Microvesicles Coated With Histones</t>
  </si>
  <si>
    <t>FRONTIERS IN IMMUNOLOGY</t>
  </si>
  <si>
    <t>histones; nucleosomes; macrophages; microvesicles; LPS; inflammation</t>
  </si>
  <si>
    <t>EXTRACELLULAR HISTONES; SURVIVAL; DEATH; MEDIATORS; TLR2</t>
  </si>
  <si>
    <t>Histones are the protein component of nucleosomes, which are the basic packing unit of chromatin. However, histones are also found in the blood, both as components of nucleosomes leaked out from dead cells, or expelled from neutrophils in the active process of NET formation. Circulating histones contribute to inflammation, and to lethality in sepsis, a hyperinflammatory condition, by interacting with specific receptors, notably toll-like receptor 4 (TLR4). Here, we show that histones are also actively released by LPS-activated macrophages in association with extracellular vesicles. Vesicle-associated histones can be recovered from the plasma of mice with sepsis. Actively released his tones are on the outer surface of vesicles and can interact with TLR4. Thus, activated macrophages release histones without dying, at the same time, making their DNA more accessible and communicating to other cells that infection is present.</t>
  </si>
  <si>
    <t>[Nair, Rohini Ravindran; Mazza, Davide; Brambilla, Francesca; Gorzanelli, Andrea; Agresti, Alessandra; Bianchi, Marco E.] San Raffaele Univ, San Raffaele Sci Inst, Milan, Italy</t>
  </si>
  <si>
    <t>Vita-Salute San Raffaele University</t>
  </si>
  <si>
    <t>Agresti, A; Bianchi, ME (corresponding author), San Raffaele Univ, San Raffaele Sci Inst, Milan, Italy.</t>
  </si>
  <si>
    <t>agresti.alessandra@hsr.it; bianchi.marco@hsr.it</t>
  </si>
  <si>
    <t>Bianchi, Marco Emilio/K-3417-2018; Nair, Rohini/AAX-9658-2020; Agresti, Alessandra/Q-4394-2019; Agresti, Alessandra/K-5228-2016; Mazza, Davide/R-5340-2016</t>
  </si>
  <si>
    <t>Bianchi, Marco Emilio/0000-0002-5329-6445; Nair, Rohini/0000-0002-7584-1010; Agresti, Alessandra/0000-0001-5006-9506; Agresti, Alessandra/0000-0001-5006-9506; Mazza, Davide/0000-0003-2776-4142; Brambilla, Francesca/0000-0001-9982-6133</t>
  </si>
  <si>
    <t>1664-3224</t>
  </si>
  <si>
    <t>JUN 27</t>
  </si>
  <si>
    <t>10.3389/fimmu.2018.01463</t>
  </si>
  <si>
    <t>Immunology</t>
  </si>
  <si>
    <t>WOS:000436466800001</t>
  </si>
  <si>
    <t>Oshchepkova, A; Neumestova, A; Matveeva, V; Artemyeva, L; Morozova, K; Kiseleva, E; Zenkova, M; Vlassov, V</t>
  </si>
  <si>
    <t>Oshchepkova, Anastasiya; Neumestova, Alexandra; Matveeva, Vera; Artemyeva, Lyudmila; Morozova, Ksenia; Kiseleva, Elena; Zenkova, Marina; Vlassov, Valentin</t>
  </si>
  <si>
    <t>Cytochalasin-B-Inducible Nanovesicle Mimics of Natural Extracellular Vesicles That Are Capable of Nucleic Acid Transfer</t>
  </si>
  <si>
    <t>MICROMACHINES</t>
  </si>
  <si>
    <t>extracellular vesicles (EVs); cytochalasin B; mesenchymal stem cells (MSCs); nucleic acid delivery; nanovesicles; freezing and thawing</t>
  </si>
  <si>
    <t>MESENCHYMAL STEM-CELLS; DELIVERY VEHICLES; CELLULAR DELIVERY; EXOSOMES; SIRNA; DIFFERENTIATION; LIPOSOMES; EXPANSION; CARRIERS; THERAPY</t>
  </si>
  <si>
    <t>Extracellular vesicles provide cell-to-cell communication and have great potential for use as therapeutic carriers. This study was aimed at the development of an extracellular vesicle-based system for nucleic acid delivery. Three types of nanovesicles were assayed as oligonucleotide carriers: Mesenchymal stem cell-derived extracellular vesicles and mimics prepared either by cell treatment with cytochalasin B or by vesicle generation from plasma membrane. Nanovesicles were loaded with a DNA oligonucleotide by freezing/thawing, sonication, or permeabilization with saponin. Oligonucleotide delivery was assayed using HEK293 cells. Extracellular vesicles and mimics were characterized by a similar oligonucleotide loading level but different efficiency of oligonucleotide delivery. Cytochalasin-B-inducible nanovesicles exhibited the highest level of oligonucleotide accumulation in HEK293 cells and a loading capacity of 0.44 +/- 0.05 pmol/mu g. The loaded oligonucleotide was mostly protected from nuclease action.</t>
  </si>
  <si>
    <t>[Oshchepkova, Anastasiya; Neumestova, Alexandra; Matveeva, Vera; Artemyeva, Lyudmila; Zenkova, Marina; Vlassov, Valentin] Inst Chem Biol &amp; Fundamental Med SB RAS, Novosibirsk 630090, Russia; [Morozova, Ksenia; Kiseleva, Elena] Inst Cytol &amp; Genet SB RAS, Novosibirsk 630090, Russia</t>
  </si>
  <si>
    <t>Institute of Chemical Biology &amp; Fundamental Medicine, Siberian Branch of the RAS; Russian Academy of Sciences; Russian Academy of Sciences; Institute of Cytology &amp; Genetics ICG SB RAS</t>
  </si>
  <si>
    <t>Zenkova, M (corresponding author), Inst Chem Biol &amp; Fundamental Med SB RAS, Novosibirsk 630090, Russia.</t>
  </si>
  <si>
    <t>marzen@niboch.nsc.ru</t>
  </si>
  <si>
    <t>Morozova, Ksenia N./N-4990-2019; Oshchepkova, Anastasiya/ABC-8357-2021; Vlassov, Valentin/F-4720-2013</t>
  </si>
  <si>
    <t>Morozova, Ksenia N./0000-0003-3307-8819; Oshchepkova, Anastasiya/0000-0002-0134-0328; Vlassov, Valentin/0000-0003-2845-2992; Zenkova, Marina/0000-0003-4044-1049</t>
  </si>
  <si>
    <t>2072-666X</t>
  </si>
  <si>
    <t>10.3390/mi10110750</t>
  </si>
  <si>
    <t>Chemistry, Analytical; Nanoscience &amp; Nanotechnology; Instruments &amp; Instrumentation; Physics, Applied</t>
  </si>
  <si>
    <t>Chemistry; Science &amp; Technology - Other Topics; Instruments &amp; Instrumentation; Physics</t>
  </si>
  <si>
    <t>WOS:000502255300036</t>
  </si>
  <si>
    <t>Streleckiene, G; Reid, HM; Arnold, N; Bauerschlag, D; Forster, M</t>
  </si>
  <si>
    <t>Streleckiene, Greta; Reid, Hayley M.; Arnold, Norbert; Bauerschlag, Dirk; Forster, Michael</t>
  </si>
  <si>
    <t>Quantifying cell-free DNA in urine: comparison between commercial kits, impact of gender and inter-individual variation</t>
  </si>
  <si>
    <t>circulating cell-free DNA; DNA amount; urine</t>
  </si>
  <si>
    <t>BIOMARKER; CANCER</t>
  </si>
  <si>
    <t>DNA can enter the blood circulation from living cells by extracellular vesicles or at cell death, and pass into urine through the kidney barrier. Urine can be collected non-invasively, making it an interesting source of cell-free DNA (cfDNA) for research studies and ultimately for clinical diagnostics. However, there is currently a lack of data on the quantity and variability of cfDNA in urine. Here, we benchmark two commercial urine cfDNA isolation kits with respect to the quantity of DNA, the labor time, and cost. The results show distinctive differences between each kit. Furthermore, the cfDNA amount from the same probands varied strongly from day to day and may be higher in female samples than in male samples (p = 0.003).</t>
  </si>
  <si>
    <t>[Streleckiene, Greta] Lithuanian Univ Hlth Sci, Inst Digest Res, Eiveniu Str 2, LT-50009 Kaunas, Lithuania; [Streleckiene, Greta; Reid, Hayley M.; Arnold, Norbert; Forster, Michael] Christian Albrechts Univ Kiel, Inst Clin Mol Biol, D-24105 Kiel, Germany; [Arnold, Norbert; Bauerschlag, Dirk] Christian Albrechts Univ Kiel, Univ Hosp Schleswig Holstein, Dept Gynecol &amp; Obstet, D-24105 Kiel, Germany</t>
  </si>
  <si>
    <t>Lithuanian University of Health Sciences; University of Kiel; University of Kiel; Schleswig Holstein University Hospital</t>
  </si>
  <si>
    <t>Forster, M (corresponding author), Christian Albrechts Univ Kiel, Inst Clin Mol Biol, D-24105 Kiel, Germany.</t>
  </si>
  <si>
    <t>m.forster@ikmb.uni-kiel.de</t>
  </si>
  <si>
    <t>Arnold, Norbert/E-3012-2010</t>
  </si>
  <si>
    <t>Arnold, Norbert/0000-0003-4523-8808; Bauerschlag, Dirk O./0000-0001-8157-6121; Reid, Hayley M/0000-0003-2101-6450; Varkalaite, Greta/0000-0003-3488-2171; Forster, Michael/0000-0001-9927-5124</t>
  </si>
  <si>
    <t>10.2144/btn-2018-0003</t>
  </si>
  <si>
    <t>WOS:000433310500007</t>
  </si>
  <si>
    <t>Zabegina, L; Nazarova, I; Nikiforova, N; Slyusarenko, M; Sidina, E; Knyazeva, M; Tsyrlina, E; Novikov, S; Reva, S; Malek, A</t>
  </si>
  <si>
    <t>Zabegina, Lidia; Nazarova, Inga; Nikiforova, Nadezhda; Slyusarenko, Maria; Sidina, Elena; Knyazeva, Margarita; Tsyrlina, Evgenia; Novikov, Sergey; Reva, Sergey; Malek, Anastasia</t>
  </si>
  <si>
    <t>A New Approach for Prostate Cancer Diagnosis by miRNA Profiling of Prostate-Derived Plasma Small Extracellular Vesicles</t>
  </si>
  <si>
    <t>prostate cancer; diagnostics; small extracellular vesicles; SEVs; microRNA; miRNA; PSMA; PSMA(+)SEVs; click chemistry</t>
  </si>
  <si>
    <t>LIGANDS; PSMA</t>
  </si>
  <si>
    <t>Vesicular miRNA has emerged as a promising marker for various types of cancer, including prostate cancer (PC). In the advanced stage of PC, the cancer-cell-derived small extracellular vesicles (SEVs) may constitute a significant portion of circulating vesicles and may mediate a detectable change in the plasma vesicular miRNA profile. However, SEVs secreted by small tumor in the prostate gland constitute a tiny fraction of circulating vesicles and cause undetectable miRNA pattern changes. Thus, the isolation and miRNA profiling of a specific prostate-derived fraction of SEVs can improve the diagnostic potency of the methods based on vesicular miRNA analysis. Prostate-specific membrane antigen (PSMA) was selected as a marker of prostate-derived SEVs. Super-paramagnetic beads (SPMBs) were functionalized by PSMA-binding DNA aptamer (PSMA-Apt) via a click reaction. The efficacy of SPMB-PSMA-Apt complex formation and PSMA(+)SEVs capture were assayed by flow cytometry. miRNA was isolated from the total population of SEVs and PSMA(+)SEVs of PC patients (n = 55) and healthy donors (n = 30). Four PC-related miRNAs (miR-145, miR-451a, miR-143, and miR-221) were assayed by RT-PCR. The click chemistry allowed fixing DNA aptamers onto the surface of SPMB with an efficacy of up to 89.9%. The developed method more effectively isolates PSMA(+)SEVs than relevant antibody-based technology. The analysis of PC-related miRNA in the fraction of PSMA(+)SEVs was more sensitive and revealed distinct diagnostic potency (AUC: miR-145, 0.76; miR-221, 0.7; miR-451a, 0.65; and miR-141, 0.64) than analysis of the total SEV population. Thus, isolation of prostate-specific SEVs followed by analysis of vesicular miRNA might be a promising PC diagnosis method.</t>
  </si>
  <si>
    <t>[Zabegina, Lidia; Nazarova, Inga; Nikiforova, Nadezhda; Slyusarenko, Maria; Sidina, Elena; Knyazeva, Margarita; Tsyrlina, Evgenia; Novikov, Sergey; Malek, Anastasia] NN Petrov Natl Med Res Ctr Oncol, Dept Radiotherapy, Subcellular Technol Lab, St Petersburg 197758, Russia; [Knyazeva, Margarita; Malek, Anastasia] Oncosystem Ltd, Moscow 121205, Russia; [Reva, Sergey] Pavlov First St Petersburg State Med Univ, Dept Androl &amp; Urol, Res Ctr Urol, St Petersburg 197022, Russia</t>
  </si>
  <si>
    <t>Pavlov First Saint Petersburg State Medical University</t>
  </si>
  <si>
    <t>Zabegina, L; Malek, A (corresponding author), NN Petrov Natl Med Res Ctr Oncol, Dept Radiotherapy, Subcellular Technol Lab, St Petersburg 197758, Russia.;Malek, A (corresponding author), Oncosystem Ltd, Moscow 121205, Russia.</t>
  </si>
  <si>
    <t>lidusikza@yandex.ru; oblaka12@mail.ru; niki2naden_ka@mail.ru; slusarenko_masha@mail.ru; sidina@mail.ru; margo9793@gmail.com; evg.tsyrlina@gmail.com; krokon@mail.ru; sgreva79@mail.ru; anastasia@malek.com</t>
  </si>
  <si>
    <t>Nikiforova, Nadezhda/AAU-8155-2020; Malek, Anastasia V/R-8804-2016</t>
  </si>
  <si>
    <t>Nikiforova, Nadezhda/0000-0001-7464-4237; Malek, Anastasia V/0000-0001-5334-7292; Knazeva, Margarita/0000-0002-2079-5061; Nazarova, Inga/0000-0002-6812-3088; Slyusarenko, Maria/0000-0002-3677-1558</t>
  </si>
  <si>
    <t>10.3390/cells10092372</t>
  </si>
  <si>
    <t>WOS:000699411900001</t>
  </si>
  <si>
    <t>Ferrantelli, F; Chiozzini, C; Manfredi, F; Leone, P; Spada, M; Di Virgilio, A; Giovannelli, A; Sanchez, M; Cara, A; Michelini, Z; Federico, M</t>
  </si>
  <si>
    <t>Ferrantelli, Flavia; Chiozzini, Chiara; Manfredi, Francesco; Leone, Patrizia; Spada, Massimo; Di Virgilio, Antonio; Giovannelli, Andrea; Sanchez, Massimo; Cara, Andrea; Michelini, Zuleika; Federico, Maurizio</t>
  </si>
  <si>
    <t>Strong SARS-CoV-2 N-Specific CD8(+) T Immunity Induced by Engineered Extracellular Vesicles Associates with Protection from Lethal Infection in Mice</t>
  </si>
  <si>
    <t>SARS-CoV-2; vaccines; CD8(+) T cell immunity; extracellular vesicles; Nef</t>
  </si>
  <si>
    <t>CELLS; EXOSOMES; BIODISTRIBUTION; ENGAGEMENT; EPITOPES; SYSTEM; CD103</t>
  </si>
  <si>
    <t>SARS-CoV-2-specific CD8(+) T cell immunity is expected to counteract viral variants in both efficient and durable ways. We recently described a way to induce a potent SARS-CoV-2 CD8(+) T immune response through the generation of engineered extracellular vesicles (EVs) emerging from muscle cells. This method relies on intramuscular injection of DNA vectors expressing different SARS-CoV-2 antigens fused at their N-terminus with the Nef(mut) protein, i.e., a very efficient EV-anchoring protein. However, quality, tissue distribution, and efficacy of these SARS-CoV-2-specific CD8(+) T cells remained uninvestigated. To fill the gaps, antigen-specific CD8(+) T lymphocytes induced by the immunization through the Nef(mut)-based method were characterized in terms of their polyfunctionality and localization at lung airways, i.e., the primary targets of SARS-CoV-2 infection. We found that injection of vectors expressing Nef(mut)/S1 and Nef(mut)/N generated polyfunctional CD8(+) T lymphocytes in both spleens and bronchoalveolar lavage fluids (BALFs). When immunized mice were infected with 4.4 lethal doses of 50% of SARS-CoV-2, all S1-immunized mice succumbed, whereas those developing the highest percentages of N-specific CD8(+) T lymphocytes resisted the lethal challenge. We also provide evidence that the N-specific immunization coupled with the development of antigen-specific CD8(+) T-resident memory cells in lungs, supporting the idea that the Nef(mut)-based immunization can confer a long-lasting, lung-specific immune memory. In view of the limitations of current anti-SARS-CoV-2 vaccines in terms of antibody waning and efficiency against variants, our CD8(+) T cell-based platform could be considered for a new combination prophylactic strategy.</t>
  </si>
  <si>
    <t>[Ferrantelli, Flavia; Chiozzini, Chiara; Manfredi, Francesco; Leone, Patrizia; Cara, Andrea; Michelini, Zuleika; Federico, Maurizio] Ist Super San, Natl Ctr Global Hlth, Viale Regina Elena 299, I-00161 Rome, Italy; [Spada, Massimo; Di Virgilio, Antonio; Giovannelli, Andrea] Ist Super San, Natl Ctr Anim Exprimntat &amp; Welf, Viale Regina Elena 299, I-00161 Rome, Italy; [Sanchez, Massimo] Ist Super San, Core Facil, Viale Regina Elena 299, I-00161 Rome, Italy</t>
  </si>
  <si>
    <t>Federico, M (corresponding author), Ist Super San, Natl Ctr Global Hlth, Viale Regina Elena 299, I-00161 Rome, Italy.</t>
  </si>
  <si>
    <t>flavia.ferrantelli@iss.it; chiara.chiozzini@iss.it; francesco.manfredi@iss.it; patrizia.leone@iss.it; massimo.spada@iss.it; antonio.divirgilio@iss.it; andrea.giovannelli@iss.it; massimo.sanchez@iss.it; andrea.cara@iss.it; zuleika.michelini@iss.it; maurizio.federico@iss.it</t>
  </si>
  <si>
    <t>Michelini, Zuleika/J-9003-2016; Ferrantelli, Flavia/J-7794-2016; Cara, Andrea/M-4865-2015</t>
  </si>
  <si>
    <t>Michelini, Zuleika/0000-0001-6841-7396; Ferrantelli, Flavia/0000-0002-0768-1078; Chiozzini, Chiara/0000-0002-4153-0927; Cara, Andrea/0000-0003-4967-1895</t>
  </si>
  <si>
    <t>10.3390/v14020329</t>
  </si>
  <si>
    <t>WOS:000762478400001</t>
  </si>
  <si>
    <t>Smith, RA; Lam, AK</t>
  </si>
  <si>
    <t>Lam, AK</t>
  </si>
  <si>
    <t>Smith, Robert A.; Lam, Alfred K.</t>
  </si>
  <si>
    <t>Liquid Biopsy for Investigation of Cancer DNA in Esophageal Squamous Cell Carcinoma</t>
  </si>
  <si>
    <t>ESOPHAGEAL SQUAMOUS CELL CARCINOMA: METHODS AND PROTOCOLS</t>
  </si>
  <si>
    <t>Liquid biopsy; Cell-free DNA; Exosome-associated DNA; Cancer surveillance; Cancer detection; Cancer management; Mutations</t>
  </si>
  <si>
    <t>CIRCULATING TUMOR DNA; METHYLATION; MUTATION; MARKERS; BLOOD</t>
  </si>
  <si>
    <t>Early detection of cancer and the monitoring of cancer recurrence in treated patients are significant challenges in esophageal squamous cell carcinoma (ESCC). Liquid biopsy is the identification of tumor biomarkers from minimally invasive samples of biological fluids, including urine, blood, stool, saliva, or cerebrospinal fluid. Liquid biopsy offers a potential solution to the problems of detection and surveillance as DNA shed from cancer cells as cell-free DNA or in exosomes can be detected in body fluids. By detecting these DNAs, we can identify the presence of cancer-associated mutations for basic detection, as well as to obtain information on the recurrence and evolution of disease following initial treatment. These sources of information have the potential to significantly improve the management of patients with ESCC. In this chapter, we detail a method for the isolation of cell-free DNA from blood plasma and DNA associated with exosomes in blood from patients with esophageal squamous cell carcinomas.</t>
  </si>
  <si>
    <t>[Smith, Robert A.] Queensland Univ Technol, Inst Hlth &amp; Biomed Innovat, Genom Res Ctr, Kelvin Grove, Qld, Australia; [Lam, Alfred K.] Griffith Univ, Sch Med, Canc Mol Pathol, Gold Coast, Qld, Australia</t>
  </si>
  <si>
    <t>Queensland University of Technology (QUT); Griffith University</t>
  </si>
  <si>
    <t>Smith, RA (corresponding author), Queensland Univ Technol, Inst Hlth &amp; Biomed Innovat, Genom Res Ctr, Kelvin Grove, Qld, Australia.</t>
  </si>
  <si>
    <t>Lam, Alfred/C-1652-2008</t>
  </si>
  <si>
    <t>Lam, Alfred/0000-0003-2771-564X</t>
  </si>
  <si>
    <t>978-1-0716-0377-2; 978-1-0716-0376-5</t>
  </si>
  <si>
    <t>10.1007/978-1-0716-0377-2_16</t>
  </si>
  <si>
    <t>10.1007/978-1-0716-0377-2</t>
  </si>
  <si>
    <t>Oncology; Medical Laboratory Technology</t>
  </si>
  <si>
    <t>WOS:000678137300017</t>
  </si>
  <si>
    <t>Kruglik, SG; Royo, F; Guigner, JM; Palomo, L; Seksek, O; Turpin, PY; Tatischeff, I; Falcon-Perez, JM</t>
  </si>
  <si>
    <t>Kruglik, Sergei G.; Royo, Felix; Guigner, Jean-Michel; Palomo, Laura; Seksek, Olivier; Turpin, Pierre-Yves; Tatischeff, Irene; Falcon-Perez, Juan M.</t>
  </si>
  <si>
    <t>Raman tweezers microspectroscopy of circa 100 nm extracellular vesicles</t>
  </si>
  <si>
    <t>NANOSCALE</t>
  </si>
  <si>
    <t>HUMAN CORONARY ATHEROSCLEROSIS; EXOSOME-LIKE VESICLES; MEMBRANE-VESICLES; NUCLEIC-ACIDS; BREAST-CANCER; SPECTROSCOPY; CELLS; MICROVESICLES; IDENTIFICATION; MICROSCOPY</t>
  </si>
  <si>
    <t>The technique of Raman tweezers microspectroscopy (RTM) for the global biomolecular content characterization of a single extracellular vesicle (EV) or a small number of EVs or other nanoscale bioparticles in an aqueous dispersion in the difficult-to-access size range of near 100 nm is described in detail. The particularities and potential of RTM are demonstrated using the examples of DOPC liposomes, exosomes from human urine and rat hepatocytes, and a mixed sample of the transfection reagent FuGENE in diluted DNA solution. The approach of biomolecular component analysis for the estimation of the main biomolecular contributions (proteins, lipids, nucleic acids, carotenoids, etc.) is proposed and discussed. Direct Raman evidence for strong intra-sample biomolecular heterogeneity of individual optically trapped EVs, due to variable contributions from nucleic acids and carotenoids in some preparations, is reported. On the basis of the results obtained, we are making an attempt to convince the scientific community that RTM is a promising method of single-EV research; to our knowledge, it is the only technique available at the moment that provides unique information about the global biomolecular composition of a single vesicle or a small number of vesicles, thus being capable of unravelling the high diversity of EV subpopulations, which is one of the most significant urgent challenges to overcome. Possible RTM applications include, among others, searching for DNA biomarkers, cancer diagnosis, and discrimination between different subpopulations of EVs, lipid bodies, protein aggregates and viruses.</t>
  </si>
  <si>
    <t>[Kruglik, Sergei G.] Sorbonne Univ, CNRS UMR 8237, Lab Jean Perrin, 4 Pl Jussieu, F-75005 Paris, France; [Royo, Felix; Palomo, Laura; Falcon-Perez, Juan M.] CIBERehd, CIC bioGUNE, Bizkaia Sci &amp; Technol Pk, Derio 48160, Bizkaia, Spain; [Guigner, Jean-Michel] Sorbonne Univ, CNRS UMR 7590, IMPMC, IRD,MNHN, F-75005 Paris, France; [Palomo, Laura; Falcon-Perez, Juan M.] Ikerbasque, Basque Fdn Sci, Bilbao 48013, Bizkaia, Spain; [Seksek, Olivier] Univ Paris Sud, CNRS UMR 8165, IMNC, F-91405 Orsay, France; [Turpin, Pierre-Yves] Sorbonne Univ, UR6 Enzymol ARN, F-75005 Paris, France; [Tatischeff, Irene] RevInterCell, 49T Rue Francois Leroux, F-91400 Orsay, France</t>
  </si>
  <si>
    <t>Centre National de la Recherche Scientifique (CNRS); CNRS - Institute of Physics (INP); UDICE-French Research Universities; Sorbonne Universite; CIBER - Centro de Investigacion Biomedica en Red; CIBEREHD; CIC bioGUNE; Centre National de la Recherche Scientifique (CNRS); CNRS - Institute of Physics (INP); Museum National d'Histoire Naturelle (MNHN); UDICE-French Research Universities; Sorbonne Universite; Institut de Recherche pour le Developpement (IRD); Basque Foundation for Science; Centre National de la Recherche Scientifique (CNRS); CNRS - National Institute of Nuclear and Particle Physics (IN2P3); UDICE-French Research Universities; Universite Paris Saclay; UDICE-French Research Universities; Sorbonne Universite</t>
  </si>
  <si>
    <t>Kruglik, SG (corresponding author), Sorbonne Univ, CNRS UMR 8237, Lab Jean Perrin, 4 Pl Jussieu, F-75005 Paris, France.</t>
  </si>
  <si>
    <t>sergei.kruglik@upmc.fr</t>
  </si>
  <si>
    <t>Seksek, Olivier/AAO-1837-2020; Royo, Felix/ABE-8064-2021; Falcon-Perez, Juan M/F-5920-2011</t>
  </si>
  <si>
    <t xml:space="preserve">Seksek, Olivier/0000-0002-3053-3022; Royo, Felix/0000-0001-9769-4165; </t>
  </si>
  <si>
    <t>2040-3364</t>
  </si>
  <si>
    <t>2040-3372</t>
  </si>
  <si>
    <t>JAN 28</t>
  </si>
  <si>
    <t>10.1039/c8nr04677h</t>
  </si>
  <si>
    <t>Chemistry, Multidisciplinary; Nanoscience &amp; Nanotechnology; Materials Science, Multidisciplinary; Physics, Applied</t>
  </si>
  <si>
    <t>WOS:000459910900015</t>
  </si>
  <si>
    <t>Moreno, CR; Ramires, JAF; Lotufo, PA; Soeiro, AM; Oliveira, LMD; Ikegami, RN; Kawakami, JT; Pereira, JD; Reis, MM; Higuchi, MD</t>
  </si>
  <si>
    <t>Moreno, Camila Rodrigues; Franchini Ramires, Jose Antonio; Lotufo, Paulo Andrade; Soeiro, Alexandre Matos; da Silva Oliveira, Luanda Mara; Ikegami, Renata Nishiyama; Kawakami, Joyce Tiyeko; Pereira, Jaqueline de Jesus; Reis, Marcia Martins; Higuchi, Maria de Lourdes</t>
  </si>
  <si>
    <t>Morphomolecular Characterization of Serum Nanovesicles From Microbiomes Differentiates Stable and Infarcted Atherosclerotic Patients</t>
  </si>
  <si>
    <t>FRONTIERS IN CARDIOVASCULAR MEDICINE</t>
  </si>
  <si>
    <t>myocardial infarction; extracellular vesicles; microbiome; archaea; Mycoplasma pneumoniae</t>
  </si>
  <si>
    <t>MYOCARDIAL-INFARCTION; PORPHYROMONAS-GINGIVALIS; MYCOPLASMA-PNEUMONIAE; OXIDATIVE STRESS; MICROPARTICLES; INFECTION; INFLAMMATION; VESICLES; PROTEIN; MMP-9</t>
  </si>
  <si>
    <t>Microbial communities are considered decisive for maintaining a healthy situation or for determining diseases. Acute myocardial infarction (AMI) is an important complication of atherosclerosis caused by the rupture of atheroma plaques containing proinflammatory cytokines, reactive oxygen species, oxidized low-density lipoproteins (oxLDL), damaged proteins, lipids, and DNA, a microenvironment compatible with a pathogenic microbial community. Previously, we found that archaeal DNA-positive infectious microvesicles (iMVs) were detected in vulnerable plaques and in the sera of Chagas disease patients with heart failure. Now, we characterize and quantify the levels of serum microbiome extracellular vesicles through their size and content using morphomolecular techniques to differentiate clinical outcomes in coronary artery disease (CAD). We detected increased numbers of large iMVs (0.8-1.34 nm) with highly negative surface charge that were positive for archaeal DNA, Mycoplasma pneumoniae antigens and MMP9 in the sera of severe AMI patients, strongly favoring our hypothesis that pathogenic archaea may play a role in the worst outcomes of atherosclerosis. The highest numbers of EVs &lt;100 nm (exosomes) and MVs from 100 to 200 nm in the stable atherosclerotic and control healthy groups compared with the AMI groups were indicative that these EVs are protective, entrapping and degrading infectious antigens and active MMP9 and protect against the development of plaque rupture. Conclusion: A microbiome with pathogenic archaea is associated with high numbers of serum iMVs in AMI with the worst prognosis. This pioneering work demonstrates that the morphomolecular characterization and quantification of iEVs in serum may constitute a promising serum prognostic biomarker in CAD.</t>
  </si>
  <si>
    <t>[Moreno, Camila Rodrigues; Ikegami, Renata Nishiyama; Kawakami, Joyce Tiyeko; Pereira, Jaqueline de Jesus; Reis, Marcia Martins; Higuchi, Maria de Lourdes] Univ Sao Paulo, Fac Med, Hosp Clin HCFMUSP, Inst Coracao,Lab Patol Cardiaca, Sao Paulo, Brazil; [Franchini Ramires, Jose Antonio; Soeiro, Alexandre Matos] Univ Sao Paulo, Fac Med, Hosp Clin HCFMUSP, Inst Coracao, Sao Paulo, Brazil; [Lotufo, Paulo Andrade] Univ Sao Paulo, Hosp Univ, Sao Paulo, Brazil; [da Silva Oliveira, Luanda Mara] Univ Sao Paulo, Fac Med, Hosp Clin HCFMUSP, Dept Dermatol,Lab Invest Dermatol &amp; Imunodeficien, Sao Paulo, Brazil</t>
  </si>
  <si>
    <t>Universidade de Sao Paulo; Universidade de Sao Paulo; Universidade de Sao Paulo; Universidade de Sao Paulo</t>
  </si>
  <si>
    <t>Higuchi, MD (corresponding author), Univ Sao Paulo, Fac Med, Hosp Clin HCFMUSP, Inst Coracao,Lab Patol Cardiaca, Sao Paulo, Brazil.</t>
  </si>
  <si>
    <t>2297-055X</t>
  </si>
  <si>
    <t>AUG 5</t>
  </si>
  <si>
    <t>10.3389/fcvm.2021.694851</t>
  </si>
  <si>
    <t>Cardiac &amp; Cardiovascular Systems</t>
  </si>
  <si>
    <t>Cardiovascular System &amp; Cardiology</t>
  </si>
  <si>
    <t>WOS:000684979500004</t>
  </si>
  <si>
    <t>Khalyfa, A; Marin, JM; Qiao, ZH; Rubio, DS; Kheirandish-Gozal, L; Gozal, D</t>
  </si>
  <si>
    <t>Khalyfa, Abdelnaby; Marin, Jose M.; Qiao, Zhuanhong; Sanz Rubio, David; Kheirandish-Gozal, Leila; Gozal, David</t>
  </si>
  <si>
    <t>Plasma exosomes in OSA patients promote endothelial senescence: effect of long-term adherent continuous positive airway pressure</t>
  </si>
  <si>
    <t>SLEEP</t>
  </si>
  <si>
    <t>OSA; CPAP; endothelium; cardiovascular; extracellular vesicles; exosomes; senescence; aging; intermittent hypoxia; oxidative stress</t>
  </si>
  <si>
    <t>OBSTRUCTIVE SLEEP-APNEA; INTERMITTENT HYPOXIA; CELLULAR SENESCENCE; EXTRACELLULAR VESICLES; DNA-DAMAGE; DYSFUNCTION; CELLS; SIRT1; DISEASE; HEALTH</t>
  </si>
  <si>
    <t>Obstructive sleep apnea (OSA) is associated with increased risk for end-organ morbidities, which can collectively be viewed as accelerated aging. Vascular senescence is an important contributor to end-organ dysfunction. Exosomes are released ubiquitously into the circulation, and transfer their cargo to target cells facilitating physiological and pathological processes. Plasma exosomes from 15 patients with polysomnographically diagnosed OSA at baseline (OSA-T1) after 12 months of adherent continuous positive airway pressure (CPAP) treatment (OSA-T2), 13 untreated OSA patients at 12-month intervals (OSA-NT1, OSA-NT2), and 12 controls (CO1 and CO2) were applied on naive human microvascular endothelialcells-dermal (HMVEC-d). Expression of several senescence gene markers including p16 (CDKN2A), SIRT1, and SIRT6 and immunostaining for beta-galactosidase activity (x-gal) were performed. Endothelial cells were also exposed to intermittent hypoxia (IH) or normoxia (RA) or treated with hydrogen peroxide (H2O2), stained with x-gal and subjected to qRT-PCR. Exosomes from OSA-T1, OSA-NT1, and OSA-NT2 induced significant increases in x-gal staining compared to OSA-T2, CO1, and CO2 (p-value &lt; 0.01). p16 expression was significantly increased (p &lt; 0.01), while SIRT1 and SIRT6 expression levels were decreased (p &lt; 0.02 and p &lt; 0.009). Endothelial cells exposed to IH or to H2O2 showed significant increases in x-gal staining (p &lt; 0.001) and in senescence gene expression. Circulating exosomes in untreated OSA induce marked and significant increases in senescence of naive endothelial cells, which are only partially reversible upon long-term adherent CPAP treatment. Furthermore, endothelial cells exposed to IH or H2O2 also elicit similar responses. Thus, OSA either directly or indirectly via exosomes may initiate and exacerbate cellular aging, possibly via oxidative stress-related pathways.</t>
  </si>
  <si>
    <t>[Khalyfa, Abdelnaby; Qiao, Zhuanhong; Kheirandish-Gozal, Leila; Gozal, David] Univ Missouri, Sch Med, Dept Child Hlth, 400 N Keene St,Suite 010, Columbia, MO 65201 USA; [Khalyfa, Abdelnaby; Qiao, Zhuanhong; Kheirandish-Gozal, Leila; Gozal, David] Univ Missouri, Sch Med, Child Hlth Res Inst, Columbia, MO 65201 USA; [Marin, Jose M.; Sanz Rubio, David] Hosp Univ Miguel Servet, Translat Res Unit, Zaragoza, Spain; [Marin, Jose M.; Sanz Rubio, David] IISAragon, CIBERES, Zaragoza, Spain</t>
  </si>
  <si>
    <t>University of Missouri System; University of Missouri Columbia; University of Missouri System; University of Missouri Columbia; Miguel Servet University Hospital; CIBER - Centro de Investigacion Biomedica en Red; CIBERES</t>
  </si>
  <si>
    <t>Gozal, D (corresponding author), Univ Missouri, Sch Med, Dept Child Hlth, 400 N Keene St,Suite 010, Columbia, MO 65201 USA.</t>
  </si>
  <si>
    <t>gozald@health.missouri.edu</t>
  </si>
  <si>
    <t>Rubio, David Sanz/AAJ-6427-2021; Gozal, David/ABH-3805-2020</t>
  </si>
  <si>
    <t>Rubio, David Sanz/0000-0002-5228-248X; Marin Trigo, Jose Maria/0000-0001-9096-2294</t>
  </si>
  <si>
    <t>0161-8105</t>
  </si>
  <si>
    <t>1550-9109</t>
  </si>
  <si>
    <t>zsz217</t>
  </si>
  <si>
    <t>10.1093/sleep/zsz217</t>
  </si>
  <si>
    <t>Clinical Neurology; Neurosciences</t>
  </si>
  <si>
    <t>Neurosciences &amp; Neurology</t>
  </si>
  <si>
    <t>WOS:000548323400007</t>
  </si>
  <si>
    <t>Khalyfa, Abdelnaby; Marin, Jose M.; Qiao, Zhuanhong; Rubio, David Sanz; Kheirandish-Gozal, Leila; Gozal, David</t>
  </si>
  <si>
    <t>[Khalyfa, Abdelnaby; Qiao, Zhuanhong; Kheirandish-Gozal, Leila; Gozal, David] Univ Missouri, Sch Med, Dept Child Hlth, 400 N Keene St,Suite 010, Columbia, MO 65201 USA; [Khalyfa, Abdelnaby; Qiao, Zhuanhong; Kheirandish-Gozal, Leila; Gozal, David] Univ Missouri, Sch Med, Child Hlth Res Inst, Columbia, MO 65201 USA; [Marin, Jose M.; Rubio, David Sanz] Hosp Univ Miguel Servet &amp; IISAragon, Translat Res Unit, CIBERES, Zaragoza, Spain</t>
  </si>
  <si>
    <t>University of Missouri System; University of Missouri Columbia; University of Missouri System; University of Missouri Columbia; CIBER - Centro de Investigacion Biomedica en Red; CIBERES</t>
  </si>
  <si>
    <t>FEB 13</t>
  </si>
  <si>
    <t>WOS:000753590500010</t>
  </si>
  <si>
    <t>Zabegina, LM; Nikiforova, NS; Nazarova, IV; Knyazeva, MS; Tsyrlina, EV; Reva, SA; Nosov, AK; Malek, AM</t>
  </si>
  <si>
    <t>Zabegina, L. M.; Nikiforova, N. S.; Nazarova, I., V; Knyazeva, M. S.; Tsyrlina, E., V; Reva, S. A.; Nosov, A. K.; Malek, A. M.</t>
  </si>
  <si>
    <t>Analysis of miRNAs in the PSMA-positive fraction of plasma nano-sized extracellular vesicles in patients with prostate cancer</t>
  </si>
  <si>
    <t>ONKOUROLOGIYA</t>
  </si>
  <si>
    <t>prostate cancer; diagnosis; screening; nano-sized extracellular vesicles; microRNAs</t>
  </si>
  <si>
    <t>ANTIGEN</t>
  </si>
  <si>
    <t>Background. MicroRNAs (miRNAs) circulating in plasma are promising markers for the diagnosis of malignant tumors, including prostate cancer. However, the existing techniques used for their detection fail to ensure sufficient diagnostic accuracy. One of the possible ways to improve it is to isolate membrane nano-sized extracellular vesicles (nsEVs) secreted by prostate cells. Presumably, the analysis of miRNAs originating from this prostate-specific fraction of nsEVs more accurately reflects the process of prostate cancer development and has a greater diagnostic potential. Objective: to develop the method of miRNA isolation from the prostate-specific fraction of plasma nsEVs and to evaluate its performance characteristics. Materials and methods. Prostate-specific membrane antigen (PSMA) was used as a prostate-specific marker of nsEVs. The total population of plasma nsEVs was isolated using a two-phase polymer system. To isolate PSMA-positive (PSMA((+))) nsEVs, we used superparamagnetic particles with PSMA-binding DNA aptamer immobilized on their surface. The efficacy of PSMA((+)) nsEV isolation was assessed using flow cytometry and dot-blotting. RNA from nsEVs was isolated using proteolysis; miRNA analysis was performed using reverse transcription polymerase chain reaction. Plasma samples collected from patients with prostate cancer (n = 33) and healthy donors (controls) (n = 30) were used to evaluate the diagnostic parameters of the method. Results. We developed the method of PSMA((+)) nsEV isolation from plasma and estimated its performance characteristics. We found that measurement of potential miRNA markers in PSMA((+)) nsEVs was more effective than its measurement in the entire nsEV population and could distinguish between patients with prostate cancer and controls. Conclusion. The new technique of PSMA((+)) nsEV isolation can be used for the development of novel diagnostic methods for the diagnosis of prostate cancer.</t>
  </si>
  <si>
    <t>[Zabegina, L. M.; Nikiforova, N. S.; Nazarova, I., V; Knyazeva, M. S.; Tsyrlina, E., V; Nosov, A. K.; Malek, A. M.] Minist Hlth Russia, NN Petrov Natl Med Res Ctr Oncol, 68 Leningradskaya St, St Petersburg 197758, Russia; [Zabegina, L. M.; Knyazeva, M. S.] Peter Great St Petersburg Polytech Univ, 29 Politekhnicheskaya St, St Petersburg 195251, Russia; [Reva, S. A.] IP Pavlov First St Petersburg State Med Univ, 6-8 Lva Tolstogo St, St Petersburg 197022, Russia; [Malek, A. M.] Onko Sistema, Terr Skolkovo Innovat Ctr, 7 Nobelya St, Moscow 121205, Russia</t>
  </si>
  <si>
    <t>Ministry of Health of the Russian Federation; Peter the Great St. Petersburg Polytechnic University</t>
  </si>
  <si>
    <t>Zabegina, LM (corresponding author), Minist Hlth Russia, NN Petrov Natl Med Res Ctr Oncol, 68 Leningradskaya St, St Petersburg 197758, Russia.;Zabegina, LM (corresponding author), Peter Great St Petersburg Polytech Univ, 29 Politekhnicheskaya St, St Petersburg 195251, Russia.</t>
  </si>
  <si>
    <t>lidusikza@yandex.ru</t>
  </si>
  <si>
    <t>; Malek, Anastasia/R-8804-2016</t>
  </si>
  <si>
    <t>Zabegina, Lidia/0000-0003-0827-1641; Malek, Anastasia/0000-0001-5334-7292; Nikiforova, Nadezhda/0000-0001-7464-4237; Reva, Sergey/0000-0001-5183-5153</t>
  </si>
  <si>
    <t>1726-9776</t>
  </si>
  <si>
    <t>1996-1812</t>
  </si>
  <si>
    <t>10.17650/1726-9776-2021-17-4-65-75</t>
  </si>
  <si>
    <t>WOS:000754411800006</t>
  </si>
  <si>
    <t>Pap, E</t>
  </si>
  <si>
    <t>Dittmar, T; Zanker, KS</t>
  </si>
  <si>
    <t>Pap, Erna</t>
  </si>
  <si>
    <t>The Role of Microvesicles in Malignancies</t>
  </si>
  <si>
    <t>CELL FUSION IN HEALTH AND DISEASE II: CELL FUSION IN DISEASE</t>
  </si>
  <si>
    <t>TUMOR-DERIVED MICROVESICLES; EXTRACELLULAR MEMBRANE-VESICLES; PLATELET MICROPARTICLES; INTERCELLULAR TRANSFER; T-LYMPHOCYTES; CANCER-CELLS; RELEASED MICROVESICLES; COLORECTAL-CANCER; ENDOTHELIAL-CELLS; MELANOMA-CELLS</t>
  </si>
  <si>
    <t>Microvesicles are membrane-covered cell fragments whose size varies between 30 and 1,000 nm. They are generated by all cell types, constituvely and in response to activation signals. Their importance in intercellular communication has been only recently discovered. They seem to enhance the potential of information transfer between cells, displaying a large number of proteins and lipids as membrane constituents and as components of the inner vesicular content. The content reflects the phenotype of the donor cell and allows the identification of the microvesicular origine as well. Complex packets of molecules are transmitted to the target cells this way, modifying their cellular physiology. Additionally, epigenetic changes may be induced by transmitted DNA and RNAs, that have also been identified in these vesicles. The vesicles can act in close and far distances as well. Microvesicles have been implicated in several physiological and pathological processes. There is an increasing evidence, that they play a pivotal role in tumorigenesis. Vesicles shedding from tumor cells reflect the special potential of the tumor for survival and expansion, independently from cell-to-cell contact. Tumor derived vesicles are fully equipped to facilitate the escape of tumor cells from immune surveillance through their protein and RNA content, at the same time they are involved in the establishment of an optimal environment for newly formed and metastatic tumor cells, influencing angiogenesis and the reorganization of the extracellular matrix. As immune cells, endothels, platelets and stem cells also release microvesicles, a multilevel communication network draws up, allowing a complex interplay between the cells. The concentration of tumor derived vesicles increases in blood plasma and other body fluids with the progression of the disease; therefor they may serve as prognostic markers. The microvesicular approach can offer new perspectives: interfering with the formation, release and propagation of these vesicles, they can be considered as new targets in tumor therapy.</t>
  </si>
  <si>
    <t>Semmelweis Univ, Dept Genet Cell &amp; Immunobiol, H-1089 Budapest, Hungary</t>
  </si>
  <si>
    <t>Semmelweis University</t>
  </si>
  <si>
    <t>Pap, E (corresponding author), Semmelweis Univ, Dept Genet Cell &amp; Immunobiol, H-1089 Budapest, Hungary.</t>
  </si>
  <si>
    <t>nyierna@dgci.sote.hu</t>
  </si>
  <si>
    <t>978-94-007-0781-8</t>
  </si>
  <si>
    <t>10.1007/978-94-007-0782-5_10</t>
  </si>
  <si>
    <t>Biology; Medicine, Research &amp; Experimental</t>
  </si>
  <si>
    <t>Book Citation Index – Science (BKCI-S); Science Citation Index Expanded (SCI-EXPANDED)</t>
  </si>
  <si>
    <t>Life Sciences &amp; Biomedicine - Other Topics; Research &amp; Experimental Medicine</t>
  </si>
  <si>
    <t>WOS:000290775400010</t>
  </si>
  <si>
    <t>de Mendonca, M; Rocha, KC; de Sousa, E; Pereira, BMV; Oyama, LM; Rodrigues, AC</t>
  </si>
  <si>
    <t>de Mendonca, Mariana; Rocha, Karina C.; de Sousa, Erica; Pereira, Beatriz M., V; Oyama, Lila Missae; Rodrigues, Alice C.</t>
  </si>
  <si>
    <t>Aerobic exercise training regulates serum extracellular vesicle miRNAs linked to obesity to promote their beneficial effects in mice</t>
  </si>
  <si>
    <t>AMERICAN JOURNAL OF PHYSIOLOGY-ENDOCRINOLOGY AND METABOLISM</t>
  </si>
  <si>
    <t>adipose tissue; extracellular vesicles; noncoding RNAs; physical exercise; steatosis</t>
  </si>
  <si>
    <t>FATTY LIVER-DISEASE; INSULIN-RESISTANCE; ADIPOSE-TISSUE; ENDURANCE EXERCISE; SKELETAL-MUSCLE; CIRCULATING MICRORNAS; GENE-EXPRESSION; WEIGHT; INFLAMMATION; SENSITIVITY</t>
  </si>
  <si>
    <t>There is a growing body of evidence that extracellular vesicles (EVs) and their cargo of RNA, DNA, and protein are released in the circulation with exercise and might mediate interorgan communication. C57BL6/J male mice were subjected to diet-induced obesity and aerobic training on a treadmill for 8 wk. The effect of aerobic training was evaluated in the liver, muscle, kidney, and white/brown adipose tissue. To provide new mechanistic insight, we profiled miRNA from serum EVs of obese and obese trained mice. We demonstrate that aerobic training changes the circulating EV miRNA profile of obese mice, including decreases in miR-122, miR-192, and miR-22 levels. Circulating miRNA levels were associated with miRNA levels in mouse liver white adipose tissue (WAT). In WAT, aerobically trained obese mice showed reduced adipocyte hypertrophy and increased the number of smaller adipocytes and the expression of Cebpa, Pparg, Fabp4 (adipogenesis markers), and ATP-citrate lyase enzyme activity. Importantly, miR-22 levels negatively correlated with the expression of adipogenesis and insulin sensitivity markers. In the liver, aerobic training reverted obesity-induced steatohepatitis, and steatosis score and Pparg expression were negatively correlated with miR-122 levels. The prometabolic effects of aerobic exercise in obesity possibly involve EV nuRN As, which might be involved in communication between liver and WAT. Our data provide significant evidence demonstrating that aerobic training exercise-induced EVs mediate the effect of exercise on adipose tissue metabolism.</t>
  </si>
  <si>
    <t>[de Mendonca, Mariana; Rocha, Karina C.; de Sousa, Erica; Pereira, Beatriz M., V; Rodrigues, Alice C.] Univ Sao Paulo, Dept Farmacol, Inst Ciencias Biomed, Sao Paulo, Brazil; [Oyama, Lila Missae] Univ Fed Sao Paulo, Dept Fisiol, Escola Paulista Med, Sao Paulo, Brazil</t>
  </si>
  <si>
    <t>Universidade de Sao Paulo; Universidade Federal de Sao Paulo (UNIFESP)</t>
  </si>
  <si>
    <t>Rodrigues, AC (corresponding author), Univ Sao Paulo, Dept Farmacol, Inst Ciencias Biomed, Sao Paulo, Brazil.</t>
  </si>
  <si>
    <t>alice-rodrigues@usp.br</t>
  </si>
  <si>
    <t>PEREIRA, BEATRIZ MARIA VELOSO/P-6931-2019; Oyama, Lila M/B-7609-2012; Rodrigues, Alice Cristina/V-3635-2019</t>
  </si>
  <si>
    <t>Rodrigues, Alice Cristina/0000-0002-9005-033X; Veloso Pereira, Beatriz Maria/0000-0002-4511-3346</t>
  </si>
  <si>
    <t>0193-1849</t>
  </si>
  <si>
    <t>1522-1555</t>
  </si>
  <si>
    <t>E579</t>
  </si>
  <si>
    <t>E591</t>
  </si>
  <si>
    <t>10.1152/ajpendo.00172.2020</t>
  </si>
  <si>
    <t>Endocrinology &amp; Metabolism; Physiology</t>
  </si>
  <si>
    <t>WOS:000572368900013</t>
  </si>
  <si>
    <t>Han, JS; Kim, SE; Jin, JQ; Park, NR; Lee, JY; Kim, HL; Lee, SB; Yang, SW; Lim, DJ</t>
  </si>
  <si>
    <t>Han, Jeong-Sun; Kim, Sung Eun; Jin, Jun-Qing; Park, Na Ri; Lee, Ji-Young; Kim, Hong Lim; Lee, Seong-Beom; Yang, Suk-Woo; Lim, Dong-Jun</t>
  </si>
  <si>
    <t>Tear-Derived Exosome Proteins Are Increased in Patients with Thyroid Eye Disease</t>
  </si>
  <si>
    <t>exosomes; extracellular vesicle; eear fluids; Graves&amp;#8217; ophthalmopathy; ehyroid-associated ophthalmopathy; eytokines</t>
  </si>
  <si>
    <t>Exosomes contain proteins, lipids, RNA, and DNA that mediate intercellular signaling. Exosomes can contribute to the pathological processes of various diseases, although their roles in ocular diseases are unclear. We aimed to isolate exosomes from tear fluids (TF) of patients with Thyroid eye disease (TED) and analyze the exosomal proteins. TFs were collected from eight patients with TED and eight control subjects. The number of TF exosomes were measured using nanoparticle-tracking analysis. The expression of specific proteins in the purified exosome pellets were analyzed using a Proteome Profiler Array Kit. Cultured normal orbital fibroblasts were incubated with TF exosomes from patients with TED and control subjects, and changes in inflammatory cytokine levels were compared. TF exosomes from TED patients showed more exosomes than the control subjects. The expression levels of exosomal proteins vitamin D-binding (VDB) protein, C-reactive protein (CRP), chitinase 3-like 1 (CHI3L1), matrix metalloproteinase-9 (MMP-9), and vascular adhesion molecule-1 (VCAM-1) were significantly increased in patients with TED, compared to those of controls. Orbital fibroblasts exposed to TF exosomes from patients with TED showed significantly higher levels of interleukin (IL)-6, IL-8, and monocyte chemoattractant protein-1 (MCP-1) production than those treated with control TF exosomes. Specific proteins showed higher expression in exosomes from TED patients, implying that they may play keys roles in TED pathogenesis.</t>
  </si>
  <si>
    <t>[Han, Jeong-Sun; Jin, Jun-Qing; Lim, Dong-Jun] Catholic Univ Korea, Coll Med, Seoul St Mary Hosp, Dept Internal Med,Div Endocrinol &amp; Metab, Seoul 06591, South Korea; [Kim, Sung Eun; Park, Na Ri; Yang, Suk-Woo] Catholic Univ Korea, Coll Med, Seoul St Mary Hosp, Dept Ophthalmol &amp; Visual Sci, Seoul 06591, South Korea; [Lee, Ji-Young; Lee, Seong-Beom] Catholic Univ Korea, Coll Med, Seoul St Mary Hosp, Dept Pathol,Inst Hansens Dis, Seoul 06591, South Korea; [Kim, Hong Lim] Catholic Univ Korea, Coll Med, Integrat Res Support Ctr, Lab Electron Microscope, Seoul 06591, South Korea</t>
  </si>
  <si>
    <t>Catholic University of Korea; Seoul St. Mary's Hospital; Catholic University of Korea; Seoul St. Mary's Hospital; Catholic University of Korea; Seoul St. Mary's Hospital; Catholic University of Korea</t>
  </si>
  <si>
    <t>Lim, DJ (corresponding author), Catholic Univ Korea, Coll Med, Seoul St Mary Hosp, Dept Internal Med,Div Endocrinol &amp; Metab, Seoul 06591, South Korea.;Yang, SW (corresponding author), Catholic Univ Korea, Coll Med, Seoul St Mary Hosp, Dept Ophthalmol &amp; Visual Sci, Seoul 06591, South Korea.</t>
  </si>
  <si>
    <t>winehan@catholic.ac.kr; sungeuni85@naver.com; juncheong1991@catholic.ac.kr; happy_nal@hanmail.net; jy1012sh@hanmail.net; wgwkim@catholic.ac.kr; sblee@catholic.ac.kr; yswoph@hanmail.net; ldj6026@catholic.ac.kr</t>
  </si>
  <si>
    <t>Lim, Dong Jun/0000-0003-0995-6482; Han, Jeong-Sun/0000-0002-4491-626X; Jin, Jun-Qing/0000-0002-5018-7008</t>
  </si>
  <si>
    <t>10.3390/ijms22031115</t>
  </si>
  <si>
    <t>WOS:000615313600001</t>
  </si>
  <si>
    <t>Liu, HY; Kumar, R; Zhong, CT; Gorji, S; Paniushkina, L; Masood, R; Wittel, UA; Fuchs, H; Nazarenko, I; Hirtz, M</t>
  </si>
  <si>
    <t>Liu, Hui-Yu; Kumar, Ravi; Zhong, Chunting; Gorji, Saleh; Paniushkina, Liliia; Masood, Ramsha; Wittel, Uwe A.; Fuchs, Harald; Nazarenko, Irina; Hirtz, Michael</t>
  </si>
  <si>
    <t>Rapid Capture of Cancer Extracellular Vesicles by Lipid Patch Microarrays</t>
  </si>
  <si>
    <t>ADVANCED MATERIALS</t>
  </si>
  <si>
    <t>breast cancer; dip-pen nanolithography; extracellular vesicles; scanning probe lithography; supported lipid bilayers</t>
  </si>
  <si>
    <t>MEMBRANE-FUSION; ALLERGEN ARRAYS; TUMOR-CELLS; EXOSOMES; ACTIVATION; EFFICIENCY; BIOCHIP; BLOOD; CHIP</t>
  </si>
  <si>
    <t>Extracellular vesicles (EVs) contain various bioactive molecules such as DNA, RNA, and proteins, and play a key role in the regulation of cancer progression. Furthermore, cancer-associated EVs carry specific biomarkers and can be used in liquid biopsy for cancer detection. However, it is still technically challenging and time consuming to detect or isolate cancer-associated EVs from complex biofluids (e.g., blood). Here, a novel EV-capture strategy based on dip-pen nanolithography generated microarrays of supported lipid membranes is presented. These arrays carry specific antibodies recognizing EV- and cancer-specific surface biomarkers, enabling highly selective and efficient capture. Importantly, it is shown that the nucleic acid cargo of captured EVs is retained on the lipid array, providing the potential for downstream analysis. Finally, the feasibility of EV capture from patient sera is demonstrated. The demonstrated platform offers rapid capture, high specificity, and sensitivity, with only a small need in analyte volume and without additional purification steps. The platform is applied in context of cancer-associated EVs, but it can easily be adapted to other diagnostic EV targets by use of corresponding antibodies.</t>
  </si>
  <si>
    <t>[Liu, Hui-Yu; Kumar, Ravi; Zhong, Chunting; Gorji, Saleh; Fuchs, Harald; Hirtz, Michael] Karlsruhe Inst Technol KIT, Inst Nanotechnol INT, Hermann von Helmholtz Pl 1, D-76344 Eggenstein Leopoldshafen, Germany; [Liu, Hui-Yu; Kumar, Ravi; Zhong, Chunting; Gorji, Saleh; Fuchs, Harald; Hirtz, Michael] Karlsruhe Inst Technol KIT, Karlsruhe Nano Micro Facil KNMF, Hermann von Helmholtz Pl 1, D-76344 Eggenstein Leopoldshafen, Germany; [Gorji, Saleh] Tech Univ Darmstadt TUD, Joint Res Lab Nanomat KIT &amp; TUD, D-64287 Darmstadt, Germany; [Paniushkina, Liliia; Masood, Ramsha; Nazarenko, Irina] Univ Freiburg, Fac Med, Med Ctr, Inst Infect Prevent &amp; Hosp Epidemiol, Breisacher Str 115 B, D-79106 Freiburg, Germany; [Wittel, Uwe A.] Univ Freiburg, Dept Gen &amp; Visceral Surg, Ctr Surg, Med Ctr,Fac Med, Breisacher Str 86, D-79110 Freiburg, Germany; [Fuchs, Harald] Westfalische Wilhelms Univ, Phys Inst, Wilhelm Klemm Str 10, D-48149 Munster, Germany; [Fuchs, Harald] Westfalische Wilhelms Univ, Ctr Nanotechnol CeNTech, Wilhelm Klemm Str 10, D-48149 Munster, Germany; [Nazarenko, Irina] German Canc Consortium DKTK, Partner Site Freiburg, Neuenheimer Feld 280, D-69120 Heidelberg, Germany; [Nazarenko, Irina] German Canc Res Ctr, Neuenheimer Feld 280, D-69120 Heidelberg, Germany</t>
  </si>
  <si>
    <t>Helmholtz Association; Karlsruhe Institute of Technology; Helmholtz Association; Karlsruhe Institute of Technology; Technical University of Darmstadt; University of Freiburg; University of Freiburg; University of Munster; University of Munster; Helmholtz Association; German Cancer Research Center (DKFZ); Helmholtz Association; German Cancer Research Center (DKFZ)</t>
  </si>
  <si>
    <t>Hirtz, M (corresponding author), Karlsruhe Inst Technol KIT, Inst Nanotechnol INT, Hermann von Helmholtz Pl 1, D-76344 Eggenstein Leopoldshafen, Germany.;Hirtz, M (corresponding author), Karlsruhe Inst Technol KIT, Karlsruhe Nano Micro Facil KNMF, Hermann von Helmholtz Pl 1, D-76344 Eggenstein Leopoldshafen, Germany.</t>
  </si>
  <si>
    <t>michael.hirtz@kit.edu</t>
  </si>
  <si>
    <t>Hirtz, Michael/C-8821-2011; Nazarenko, Irina/E-5714-2010</t>
  </si>
  <si>
    <t>Hirtz, Michael/0000-0002-2647-5317; Nazarenko, Irina/0000-0002-2633-1161; KUMAR, Dr. RAVI/0000-0002-7099-6865</t>
  </si>
  <si>
    <t>0935-9648</t>
  </si>
  <si>
    <t>1521-4095</t>
  </si>
  <si>
    <t>10.1002/adma.202008493</t>
  </si>
  <si>
    <t>Chemistry, Multidisciplinary; Chemistry, Physical; Nanoscience &amp; Nanotechnology; Materials Science, Multidisciplinary; Physics, Applied; Physics, Condensed Matter</t>
  </si>
  <si>
    <t>WOS:000678864200001</t>
  </si>
  <si>
    <t>Stiller, C; Viktorsson, K; Gomero, EP; Haag, P; Arapi, V; Kaminskyy, VO; Kamali, C; De Petris, L; Ekman, S; Lewensohn, R; Karlstrom, AE</t>
  </si>
  <si>
    <t>Stiller, Christiane; Viktorsson, Kristina; Paz Gomero, Elizabeth; Haag, Petra; Arapi, Vasiliki; Kaminskyy, Vitaliy O.; Kamali, Caroline; De Petris, Luigi; Ekman, Simon; Lewensohn, Rolf; Karlstrom, Amelie Eriksson</t>
  </si>
  <si>
    <t>Detection of Tumor-Associated Membrane Receptors on Extracellular Vesicles from Non-Small Cell Lung Cancer Patients via Immuno-PCR</t>
  </si>
  <si>
    <t>immuno-PCR; small extracellular vesicles; liquid biopsies; non-small-cell lung cancer; EGFR; tyrosine kinase inhibitors; longitudinal treatment monitoring; biomarkers; affibody; protein&amp;#8211; DNA conjugation</t>
  </si>
  <si>
    <t>INTERNATIONAL SOCIETY; POSITION STATEMENT; LIQUID BIOPSY; OSIMERTINIB; RESISTANCE; AFFINITY; DNA</t>
  </si>
  <si>
    <t>Simple Summary Lung cancer is often detected at late stages when metastases are present and the genomic make-ups of the tumors are heterogeneous. Analyses of genomic alterations in non-small-cell lung cancer (NSCLC) have revealed mutated tumor-associated membrane receptors and fusion proteins, which can be targeted via tyrosine kinase inhibitors (TKIs). TKIs initially often have a good effect, but a fraction of the tumor lesions may develop resistance through additional mutations in the targeted kinases or by increased expression/function of other membrane receptors. Detection of TKI-bypassing mechanisms is difficult in tissue biopsies as these analyze only a subpart of tumors or lesions. Liquid biopsies based on tumor-secreted small extracellular vesicles (sEVs) into body fluids can assess tumor heterogeneity. We present an immuno-PCR method for the detection of the epidermal growth factor receptor (EGFR), the human epidermal growth factor receptor 2 (HER2), and the insulin-like growth factor 1 receptor (IGF-1R) on sEVs. Initial investigations of sEVs from EGFR-mutant NSCLC tumor cells or pleural effusion (PE) fluid from patients with NSCLC or benign diseases showed different protein profiles for individual sEV samples. Further development of the immuno-PCR could complement DNA/mRNA-based assays detecting kinase mutations to allow longitudinal treatment monitoring of diverse TKI-bypassing mechanisms. Precision cancer medicine for non-small-cell lung cancer (NSCLC) has increased patient survival. Nevertheless, targeted agents towards tumor-associated membrane receptors only result in partial remission for a limited time, calling for approaches which allow longitudinal treatment monitoring. Rebiopsy of tumors in the lung is challenging, and metastatic lesions may have heterogeneous signaling. One way ahead is to use liquid biopsies such as circulating tumor DNA or small extracellular vesicles (sEVs) secreted by the tumor into blood or other body fluids. Herein, an immuno-PCR-based detection of the tumor-associated membrane receptors EGFR, HER2, and IGF-1R on CD9-positive sEVs from NSCLC cells and pleural effusion fluid (PE) of NSCLC patients is developed utilizing DNA conjugates of antibody mimetics and affibodies, as detection agents. Results on sEVs purified from culture media of NSCLC cells treated with anti-EGFR siRNA, showed that the reduction of EGFR expression can be detected via immuno-PCR. Protein profiling of sEVs from NSCLC patient PE samples revealed the capacity to monitor EGFR, HER2, and IGF-1R with the immuno-PCR method. We detected a significantly higher EGFR level in sEVs derived from a PE sample of a patient with an EGFR-driven NSCLC adenocarcinoma than in sEVs from PE samples of non-EGFR driven adenocarcinoma patients or in samples from patients with benign lung disease. In summary, we have developed a diagnostic method for sEVs in liquid biopsies of cancer patients which may be used for longitudinal treatment monitoring to detect emerging bypassing resistance mechanisms in a noninvasive way.</t>
  </si>
  <si>
    <t>[Stiller, Christiane; Paz Gomero, Elizabeth; Karlstrom, Amelie Eriksson] KTH Royal Inst Technol, AlbaNova Univ Ctr, Dept Prot Sci, Sch Engn Sci Chem Biotechnol &amp; Hlth, SE-10691 Stockholm, Sweden; [Stiller, Christiane] Uppsala Univ, Dept Pharmaceut Biosci, Biomed Ctr, SE-75123 Uppsala, Sweden; [Viktorsson, Kristina; Haag, Petra; Arapi, Vasiliki; Kaminskyy, Vitaliy O.; Kamali, Caroline; De Petris, Luigi; Ekman, Simon; Lewensohn, Rolf] Karolinska Inst, Dept Oncol Pathol, SE-17177 Stockholm, Sweden; [Kamali, Caroline; De Petris, Luigi; Ekman, Simon; Lewensohn, Rolf] Karolinska Univ Hosp, Thorac Oncol Ctr, Theme Canc Med Unit Head &amp; Neck Lung &amp; Skin Tumor, SE-17177 Stockholm, Sweden</t>
  </si>
  <si>
    <t>Royal Institute of Technology; Uppsala University; Karolinska Institutet; Karolinska Institutet; Karolinska University Hospital</t>
  </si>
  <si>
    <t>Karlstrom, AE (corresponding author), KTH Royal Inst Technol, AlbaNova Univ Ctr, Dept Prot Sci, Sch Engn Sci Chem Biotechnol &amp; Hlth, SE-10691 Stockholm, Sweden.</t>
  </si>
  <si>
    <t>cstiller@kth.se; kristina.viktorsson@ki.se; epaz@kth.se; petra.haag@ki.se; kristina.viktorsson@ki.se; Vitaly.Kaminsky@ki.se; caroline.kamali@ki.se; luigi.depetris@ki.se; simon.ekman@ki.se; rolf.lewensohn@ki.se; ameliek@kth.se</t>
  </si>
  <si>
    <t>; Eriksson Karlstrom, Amelie/F-6654-2010</t>
  </si>
  <si>
    <t>Kamali, Caroline/0000-0001-9737-5367; Eriksson Karlstrom, Amelie/0000-0002-0695-5188; Kaminskyy, Vitaliy/0000-0002-8151-5270</t>
  </si>
  <si>
    <t>10.3390/cancers13040922</t>
  </si>
  <si>
    <t>WOS:000623359000001</t>
  </si>
  <si>
    <t>Lu, ZW; Shi, Y; Ma, YX; Jia, B; Li, XT; Guan, XX; Li, Z</t>
  </si>
  <si>
    <t>Lu, Zhangwei; Shi, Ye; Ma, Yuxuan; Jia, Bin; Li, Xintong; Guan, Xiaoxiang; Li, Zhe</t>
  </si>
  <si>
    <t>Fast and specific enrichment and quantification of cancer-related exosomes by DNA-nanoweight-assisted centrifugation</t>
  </si>
  <si>
    <t>Article; Early Access</t>
  </si>
  <si>
    <t>EXTRACELLULAR VESICLES; SYSTEM; CHROMATOGRAPHY; TECHNOLOGIES; PLASMA</t>
  </si>
  <si>
    <t>Exosomes are nanoscale membrane vesicles actively released by cells and play an important role in the diagnosis of cancer-related diseases. However, it is challenging to efficiently enrich exosomes from extracellular fluids. In this work, we used DNA nanostructures as nanoweights during centrifugation to facilitate the enrichment of cancerous exosomes in human serum. Two different DNA tetrahedral nanostructures (DTNs), each carrying a specific aptamer for exosome biomarker recognition, were incubated with clinical samples simultaneously. One DTN triggered the cross-linking of multiple target exosomes and, therefore, enabled low-speed and fast centrifugation for enrichment. The other DTN further narrowed down the target exosome subtype and initiated a hybridization chain reaction (HCR) for sensitive signal amplification. The method enabled the detection of 1.8 x 102 MCF-7-derived exosomes per microliter and 5.6 x 102 HepG2-derived exosomes per microliter, with 1000-fold higher sensitivity than conventional ELISA and 10-fold higher sensitivity than some recently reported fluorescence assays. Besides, the dualaptamer system simultaneously recognized multiple surface proteins, eliminating the interference risk from free proteins. Thus, this easy-to-operate method can enrich exosomes with excellent specificity and sensitivity and therefore will be appealing in biomedical research and clinical diagnosis.</t>
  </si>
  <si>
    <t>[Lu, Zhangwei; Shi, Ye; Ma, Yuxuan; Jia, Bin; Li, Zhe] Nanjing Univ, Coll Engn &amp; Appl Sci, Dept Biomed Engn, Nanjing 210023, Jiangsu, Peoples R China; [Lu, Zhangwei; Shi, Ye; Ma, Yuxuan; Jia, Bin; Li, Zhe] Nanjing Univ, State Key Lab Analyt Chem Life Sci, Nanjing 210023, Jiangsu, Peoples R China; [Li, Xintong; Guan, Xiaoxiang] Jiangsu Prov Hosp, Dept Oncol, Nanjing 210029, Jiangsu, Peoples R China</t>
  </si>
  <si>
    <t>Nanjing University; Nanjing University; Nanjing Medical University</t>
  </si>
  <si>
    <t>Li, Z (corresponding author), Nanjing Univ, Coll Engn &amp; Appl Sci, Dept Biomed Engn, Nanjing 210023, Jiangsu, Peoples R China.;Li, Z (corresponding author), Nanjing Univ, State Key Lab Analyt Chem Life Sci, Nanjing 210023, Jiangsu, Peoples R China.;Guan, XX (corresponding author), Jiangsu Prov Hosp, Dept Oncol, Nanjing 210029, Jiangsu, Peoples R China.</t>
  </si>
  <si>
    <t>xguan@njmu.edu.cn; zheli@nju.edu.cn</t>
  </si>
  <si>
    <t>10.1021/acs.analchem.2c01872</t>
  </si>
  <si>
    <t>JUN 2022</t>
  </si>
  <si>
    <t>WOS:000820159600001</t>
  </si>
  <si>
    <t>Li, HZ; Xu, W; Li, F; Zeng, R; Zhang, XM; Wang, XW; Zhao, SJ; Weng, J; Li, Z; Sun, LP</t>
  </si>
  <si>
    <t>Li, Huizhen; Xu, Wan; Li, Fang; Zeng, Ru; Zhang, Xiuming; Wang, Xianwu; Zhao, Shaojun; Weng, Jian; Li, Zhu; Sun, Liping</t>
  </si>
  <si>
    <t>Amplification of anticancer efficacy by co-delivery of doxorubicin and lonidamine with extracellular vesicles</t>
  </si>
  <si>
    <t>DRUG DELIVERY</t>
  </si>
  <si>
    <t>Extracellular vesicles; doxorubicin; lonidamine; cancer therapy; lung cancer</t>
  </si>
  <si>
    <t>INDUCED APOPTOSIS; DRUG LONIDAMINE; EXOSOMES; CHEMOTHERAPY</t>
  </si>
  <si>
    <t>Chemotherapy is commonly used for the treatment of lung cancer, but strong side effects and low treatment efficacy limit its clinical application. Here, extracellular vesicles (EVs) as natural drug delivery carriers were used to load conventional anticancer drug doxorubicin (DOX) and a chemosensitizer lonidamine (LND). Two types of EVs with different sizes (16k EVs and 120k EVs) were prepared using different centrifugation forces. We found that co-delivery of DOX and LND with both EVs enhanced the cytotoxicity and reduced the dose of the anticancer drug significantly in vitro. Effective delivery of anti-cancer drugs to cancer cells was achieved by direct fusion of EVs with the plasma membrane of cancer cells. On the other hand, DOX and LND inhibited cancer cell proliferation by increasing DNA damage, suppressing ATP production, and accelerating ROS generation synergistically. DOX and LND loaded EVs were also applied to the mouse lung cancer model and exhibited significant anticancer activity. In vivo study showed that smaller EVs exhibited higher anticancer efficiency. In conclusion, the co-delivery of the anticancer drug and the chemosensitizer with EVs may have potential clinical applications for cancer therapy.</t>
  </si>
  <si>
    <t>[Li, Huizhen; Xu, Wan; Zhang, Xiuming; Weng, Jian; Sun, Liping] Xiamen Univ, Higher Educ Key Lab Biomed Engn Fujian Prov, Res Ctr Biomed Engn Xiamen, Dept Biomat,Coll Mat, Xiamen, Peoples R China; [Li, Huizhen] Zhengzhou Univ, Dept Radiotherapy, Affiliated Hosp 1, Zhengdong Branch, Zhengzhou, Peoples R China; [Li, Fang] Minist Nat Resources, Inst Oceanog 3, Key Lab Marine Genet Resources, Xiamen, Peoples R China; [Zeng, Ru] Xiamen Univ, Dept Med Oncol, Affiliated Hosp 1, Xiamen, Peoples R China; [Wang, Xianwu; Zhao, Shaojun; Li, Zhu] Xiamen Nuokangde Biol Technol Co Ltd, Xiamen, Peoples R China</t>
  </si>
  <si>
    <t>Xiamen University; Zhengzhou University; Xiamen University</t>
  </si>
  <si>
    <t>Sun, LP (corresponding author), Xiamen Univ, Higher Educ Key Lab Biomed Engn Fujian Prov, Res Ctr Biomed Engn Xiamen, Dept Biomat,Coll Mat, Xiamen, Peoples R China.;Li, F (corresponding author), Minist Nat Resources, Inst Oceanog 3, Key Lab Marine Genet Resources, Xiamen, Peoples R China.;Li, Z (corresponding author), Xiamen Nuokangde Biol Technol Co Ltd, Xiamen, Peoples R China.</t>
  </si>
  <si>
    <t>lifang@tio.org.cn; lizhu@nkdbio.com; sunliping@xmu.edu.cn</t>
  </si>
  <si>
    <t>Sun, Liping/0000-0001-8707-7446</t>
  </si>
  <si>
    <t>1071-7544</t>
  </si>
  <si>
    <t>1521-0464</t>
  </si>
  <si>
    <t>DEC 31</t>
  </si>
  <si>
    <t>10.1080/10717544.2021.2023697</t>
  </si>
  <si>
    <t>WOS:000739359600001</t>
  </si>
  <si>
    <t>Layne, TR; Green, RA; Lewis, CA; Nogales, F; Cruz, TCD; Zehner, ZE; Seashols-Williams, SJ</t>
  </si>
  <si>
    <t>Layne, Tiffany R.; Green, Raquel A.; Lewis, Carolyn A.; Nogales, Francy; Dawson Cruz, Tracey C.; Zehner, Zendra E.; Seashols-Williams, Sarah J.</t>
  </si>
  <si>
    <t>microRNA Detection in Blood, Urine, Semen, and Saliva Stains After Compromising Treatments</t>
  </si>
  <si>
    <t>JOURNAL OF FORENSIC SCIENCES</t>
  </si>
  <si>
    <t>forensic science; serology; microRNA; miRNA; body fluid identification; blood; urine; semen; saliva; compromised samples</t>
  </si>
  <si>
    <t>RNA; DNA; BIOMARKERS; MARKERS; IDENTIFICATION; DEGRADATION; EXPRESSION; DIAGNOSIS; EXOSOMES; MODEL</t>
  </si>
  <si>
    <t>Evaluation of microRNA (miRNA) expression as a potential method for forensic body fluid identification has been the subject of investigation over the past several years. Because of their size and encapsulation within proteins and lipids, miRNAs are inherently less susceptible to degradation than other RNAs. In this work, blood, urine, semen, and saliva were exposed to environmental and chemical conditions mimicking sample compromise at the crime scene. For many treated samples, including 100% of blood samples, miRNAs remained detectable, comparable to the untreated control. Sample degradation varied by body fluid and treatment, with blood remarkably resistant, while semen and saliva are more susceptible to environmental insult. Body fluid identification using relative miRNA expression of blood and semen of the exposed samples was 100% and 94%, respectively. Given the overall robust results herein, the case is strengthened for the use of miRNAs as a molecular method for body fluid identification.</t>
  </si>
  <si>
    <t>[Layne, Tiffany R.; Green, Raquel A.; Lewis, Carolyn A.; Nogales, Francy; Dawson Cruz, Tracey C.; Seashols-Williams, Sarah J.] Virginia Commonwealth Univ, Dept Forens Sci, Box 843079, Richmond, VA 23284 USA; [Zehner, Zendra E.] Virginia Commonwealth Univ, Dept Biochem &amp; Mol Biol, Box 980614, Richmond, VA 23298 USA</t>
  </si>
  <si>
    <t>Virginia Commonwealth University; Virginia Commonwealth University</t>
  </si>
  <si>
    <t>Seashols-Williams, SJ (corresponding author), Virginia Commonwealth Univ, Dept Forens Sci, Box 843079, Richmond, VA 23284 USA.</t>
  </si>
  <si>
    <t>sseashols@vcu.edu</t>
  </si>
  <si>
    <t>Seashols-Williams, Sarah J/K-7455-2016</t>
  </si>
  <si>
    <t>Seashols-Williams, Sarah J/0000-0003-0093-8261; Layne, Tiffany/0000-0002-1199-5264</t>
  </si>
  <si>
    <t>0022-1198</t>
  </si>
  <si>
    <t>1556-4029</t>
  </si>
  <si>
    <t>10.1111/1556-4029.14113</t>
  </si>
  <si>
    <t>Medicine, Legal</t>
  </si>
  <si>
    <t>Legal Medicine</t>
  </si>
  <si>
    <t>WOS:000501482700029</t>
  </si>
  <si>
    <t>Brambilla, D; Sola, L; Ferretti, AM; Chiodi, E; Zarovni, N; Fortunato, D; Criscuoli, M; Dolo, V; Giusti, I; Murdica, V; Czernek, L; Duchler, M; Vago, R; Chiari, M; Kluszczyriska, K</t>
  </si>
  <si>
    <t>Brambilla, Dario; Sola, Laura; Ferretti, Anna Maria; Chiodi, Elisa; Zarovni, Natasa; Fortunato, Diogo; Criscuoli, Mattia; Dolo, Vincenza; Giusti, Ilaria; Murdica, Valentina; Czernek, Liliana; Duchler, Markus; Vago, Riccardo; Chiari, Marcella; Kluszczyriska, Katarzyna</t>
  </si>
  <si>
    <t>EV Separation: Release of Intact Extracellular Vesicles Immunocaptured on Magnetic Particles</t>
  </si>
  <si>
    <t>Extracellular vesicles (EVs) have attracted considerable interest due to their role in cell-cell communication, disease diagnosis, and drug delivery. Despite their potential in the medical field, there is no consensus on the best method for separating micro- and nanovesicles from cell culture supernatant and complex biological fluids. Obtaining a good recovery yield and preserving physical characteristics is critical for the diagnostic and therapeutic use of EVs. The separation of a single class of EVs, such as exosomes, is complex because blood and cell culture media contain many nanoparticles in the same size range. Methods that exploit immunoaffinity capture provide high-purity samples and overcome the issues of currently used separation methods. However, the release of captured nanovesicles usually requires harsh conditions that hinder their use in certain types of downstream analysis. A novel capture and release approach for small extracellular vesicles (sEVs) is presented based on DNA-directed immobilization of antiCD63 antibody. The flexible DNA linker increases the capture efficiency and allows for releasing EVs by exploiting the endonuclease activity of DNAse I. This separation protocol works under mild conditions, enabling the release of vesicles suitable for analysis by imaging techniques. In this study, sEVs recovered from plasma were characterized by established techniques for EV analysis, including nanoparticle tracking and transmission electron microscopy.</t>
  </si>
  <si>
    <t>[Brambilla, Dario; Sola, Laura; Chiodi, Elisa; Chiari, Marcella] Natl Res Council Italy CNR SCITEC, Inst Chem Sci &amp; Technol Giulio Natta, I-20131 Milan, Italy; [Ferretti, Anna Maria] Natl Res Council Italy CNR SCITEC, Inst Chem Sci &amp; Technol Giulio Natta, I-20138 Milan, Italy; [Zarovni, Natasa; Fortunato, Diogo; Criscuoli, Mattia] Exos Siena SpA, I-53100 Siena, Italy; [Dolo, Vincenza; Giusti, Ilaria] Univ Aquila, Dept Life Hlth &amp; Environm Sci, I-67100 Laquila, Italy; [Murdica, Valentina; Vago, Riccardo] IRCCS San Raffaele Sci Inst, Urol Res Inst, Div Expt Oncol, I-20132 Milan, Italy; [Kluszczyriska, Katarzyna] Med Univ Lodz, Dept Mol Biol Canc, PL-92215 Lodz, Poland; [Czernek, Liliana; Duchler, Markus] Polish Acad Sci, Ctr Mol &amp; Macromol Studies, Dept Bioorgan Chem, PL-90363 Lodz, Poland; [Vago, Riccardo] Univ Vita Salute San Raffaele, I-20132 Milan, Italy</t>
  </si>
  <si>
    <t>Consiglio Nazionale delle Ricerche (CNR); Istituto di Scienze Tecnologie Chimiche Giulio Natta (SCITEC-CNR); Consiglio Nazionale delle Ricerche (CNR); Istituto di Scienze Tecnologie Chimiche Giulio Natta (SCITEC-CNR); University of L'Aquila; IRCCS Ospedale San Raffaele; Medical University Lodz; Polish Academy of Sciences; Centre of Molecular &amp; Macromolecular Studies of the Polish Academy of Sciences; Vita-Salute San Raffaele University</t>
  </si>
  <si>
    <t>Brambilla, D (corresponding author), Natl Res Council Italy CNR SCITEC, Inst Chem Sci &amp; Technol Giulio Natta, I-20131 Milan, Italy.</t>
  </si>
  <si>
    <t>dario.brambilla@scitec.cnr.it</t>
  </si>
  <si>
    <t>Murdica, Valentina/J-5368-2018; Sola, Laura/ABD-8155-2021; Dolo, Vincenza/AAB-2885-2021; Ferretti, Anna Maria/E-6861-2010; Kluszczyńska, Katarzyna/AAK-1284-2021</t>
  </si>
  <si>
    <t>Murdica, Valentina/0000-0002-5187-1696; Dolo, Vincenza/0000-0003-0424-6676; Ferretti, Anna Maria/0000-0002-7373-7965; Kluszczyńska, Katarzyna/0000-0002-7290-1647; Fortunato, Diogo/0000-0003-2732-477X; Brambilla, Dario/0000-0003-3490-4481; Czernek, Liliana/0000-0001-9008-5041; Duechler, Markus/0000-0001-7869-9577; Chiodi, Elisa/0000-0003-2036-4584</t>
  </si>
  <si>
    <t>APR 6</t>
  </si>
  <si>
    <t>10.1021/acs.analchem.0c05194</t>
  </si>
  <si>
    <t>WOS:000638986400018</t>
  </si>
  <si>
    <t>Jiao, FL; Gao, FY; Liu, YY; Fan, ZY; Xiang, XC; Xia, CS; Lv, YY; Xie, YP; Bai, HH; Zhang, WJ; Qin, WJ; Qian, XH</t>
  </si>
  <si>
    <t>Jiao, Fenglong; Gao, Fangyuan; Liu, Yuanyuan; Fan, Zhiya; Xiang, Xiaochao; Xia, Chaoshuang; Lv, Yayao; Xie, Yuping; Bai, Haihong; Zhang, Wanjun; Qin, Weijie; Qian, Xiaohong</t>
  </si>
  <si>
    <t>A facile one-material strategy for tandem enrichment of small extracellular vesicles phosphoproteome</t>
  </si>
  <si>
    <t>Small extracellular vesicles; Proteomics; Phosphoproteomics; Mass spectrometry; Nanomaterials</t>
  </si>
  <si>
    <t>HIGHLY SELECTIVE ENRICHMENT; PROTEIN-PHOSPHORYLATION; CANCER PROGRESSION; MAGNETIC GRAPHENE; EXOSOME ISOLATION; SERUM; MECHANISM; BIOMARKER; DNA</t>
  </si>
  <si>
    <t>Small extracellular vesicles (SEVs), are cell-derived, membrane-enclosed nanometer-sized vesicles that play vital roles in many biological processes. Recent years, more and more evidences proved that small EVs have close relationship with many diseases such as cancers and Alzheimer's disease. The use of phosphoproteins in SEVs as potential biomarkers is a promising new choice for early diagnosis and prognosis of cancer. However, current techniques for SEVs isolation still facing many challenges, such as highly instrument dependent, time consuming and insufficient purity. Furthermore, complex enrichment procedures and low microgram amounts of proteins available from clinical sources largely limit the throughput and the coveage depth of SEVs phosphoproteome mapping. Here, we synthesized Ti4+-modified magnetic graphene-oxide composites (GFST) and developed a one-material strategy for facile and efficient phosphoproteome enrichment and identification in SEVs from human serum. By taking advantage of chelation and electrostatic interactions between metal ions and phosphate groups, GFST shows excellent performance in both SEVs isolation and phosphopeptide enrichment. Close to 85% recovery is achieved within a few minutes by simple incubation with GFST and magnetic separation. Proteome profiling of the isolated serum SEVs without phosphopeptide enrichment results in 515 proteins, which is approximately one-fold more than those otained by ultracentrifugation or coprecipitation kits. Further application of GFST in one-material-based enrichment led to identification of 859 phosphosites in 530 phosphoproteins. Kinase-substrate correlation analysis reveals enriched substrates of CAMK in serum SEVs phosphoproteome. Therefore, we expect that the low instrument dependency and the limited sample requirement of this new strategy may facilitate clinical investigations in SEV-based transportation of abnormal kinases and substrates for drug target discovery and cancer monitoring.</t>
  </si>
  <si>
    <t>[Jiao, Fenglong; Gao, Fangyuan; Liu, Yuanyuan; Fan, Zhiya; Xiang, Xiaochao; Xia, Chaoshuang; Lv, Yayao; Xie, Yuping; Zhang, Wanjun; Qin, Weijie; Qian, Xiaohong] Beijing Inst Life, Beijing Proteome Res Ctr, Natl Ctr Prot Sci Beijing, State Key Lab Prote, Beijing 102206, Peoples R China; [Qin, Weijie] Anhui Med Univ, Coll Basic Med, Hefei 230032, Peoples R China; [Bai, Haihong] Capital Med Univ, Phase Clin Trial Ctr 1, Affiliated Beijing Shijitan Hosp Univ, Beijing 100038, Peoples R China</t>
  </si>
  <si>
    <t>Anhui Medical University; Capital Medical University</t>
  </si>
  <si>
    <t>Qin, WJ (corresponding author), Beijing Inst Life, Beijing 102206, Peoples R China.</t>
  </si>
  <si>
    <t>aunp_dna@126.com</t>
  </si>
  <si>
    <t>Xia, Chaoshuang/GPC-6579-2022</t>
  </si>
  <si>
    <t>Xia, Chaoshuang/0000-0001-7076-4813; Liu, Yuanyuan/0000-0002-0333-479X; Bai, Haihong/0000-0003-0749-6718; Gao, Fangyuan/0000-0002-1270-8781</t>
  </si>
  <si>
    <t>FEB 1</t>
  </si>
  <si>
    <t>10.1016/j.talanta.2020.121776</t>
  </si>
  <si>
    <t>WOS:000599681500002</t>
  </si>
  <si>
    <t>Garcia-Romero, N; Madurga, R; Rackov, G; Palacin-Aliana, I; Nunez-Torres, R; Asensi-Puig, A; Carrion-Navarro, J; Esteban-Rubio, S; Peinado, H; Gonzalez-Neira, A; Gonzalez-Rumayor, V; Belda-Iniesta, C; Ayuso-Sacido, A</t>
  </si>
  <si>
    <t>Garcia-Romero, N.; Madurga, R.; Rackov, G.; Palacin-Aliana, I.; Nunez-Torres, R.; Asensi-Puig, A.; Carrion-Navarro, J.; Esteban-Rubio, S.; Peinado, H.; Gonzalez-Neira, A.; Gonzalez-Rumayor, V.; Belda-Iniesta, C.; Ayuso-Sacido, A.</t>
  </si>
  <si>
    <t>Polyethylene glycol improves current methods for circulating extracellular vesicle-derived DNA isolation</t>
  </si>
  <si>
    <t>JOURNAL OF TRANSLATIONAL MEDICINE</t>
  </si>
  <si>
    <t>Extracellular vesicles; Liquid biopsy; Polyethylene glycol; ExoQuick((R)); PureExo((R)); Ultracentrifugation</t>
  </si>
  <si>
    <t>EXOSOME ISOLATION; CANCER; MICRORNA; RNA; MICROPARTICLES; BIOMARKERS; PROTEIN; BIOPSY; SERUM</t>
  </si>
  <si>
    <t>BackgroundExtracellular vesicles (EVs) are small membrane-bound vesicles which play an important role in cell-to-cell communication. Their molecular cargo analysis is presented as a new source for biomarker detection, and it might provide an alternative to traditional solid biopsies. However, the most effective approach for EV isolation is not yet wellestablished.ResultsHere, we study the efficiency of the most common EV isolation methods-ultracentrifugation, Polyethlyene glycol and two commercial kits, Exoquick((R)) and PureExo((R)). We isolated circulating EVs from the bloodstream of healthy donors, characterized the size and yield of EVs and analyzed their protein profiles and concentration. Moreover, we have used for the first time Digital-PCR to identify and detect specific gDNA sequences, which has several implications for diagnostic and monitoring many types of diseases.ConclusionsOur findings present Polyethylene glycol precipitation as the most feasible and less cost-consuming EV isolation technique.</t>
  </si>
  <si>
    <t>[Garcia-Romero, N.; Madurga, R.; Rackov, G.; Palacin-Aliana, I.; Carrion-Navarro, J.; Esteban-Rubio, S.; Belda-Iniesta, C.; Ayuso-Sacido, A.] HM Hosp, Fdn Invest HM Hosp, C Ona 10, Madrid 28050, Spain; [Rackov, G.] IMDEA Nanosci, Madrid, Spain; [Nunez-Torres, R.; Peinado, H.; Gonzalez-Neira, A.] Spanish Natl Canc Res Ctr CNIO, Madrid 28029, Spain; [Asensi-Puig, A.; Gonzalez-Rumayor, V.] Atrys Hlth, Barcelona, Spain; [Esteban-Rubio, S.; Ayuso-Sacido, A.] Univ San Pablo CEU, Fac Med IMMA, Madrid, Spain</t>
  </si>
  <si>
    <t>IMDEA Nanociencia; Centro Nacional de Investigaciones Oncologicas (CNIO); San Pablo CEU University</t>
  </si>
  <si>
    <t>Ayuso-Sacido, A (corresponding author), HM Hosp, Fdn Invest HM Hosp, C Ona 10, Madrid 28050, Spain.</t>
  </si>
  <si>
    <t>Gonzalez-Neira, Anna/C-5791-2015; Sacido, Angel Ayuso/AAV-9331-2021; Rackov, Gorjana/AAC-4954-2021; Aliana, Irina Palacín/X-7255-2019; Peinado, Hector/A-6417-2013; Madurga, Rodrigo/ABG-3485-2021</t>
  </si>
  <si>
    <t>Gonzalez-Neira, Anna/0000-0002-5421-2020; Sacido, Angel Ayuso/0000-0003-3919-5880; Rackov, Gorjana/0000-0001-6561-6357; Aliana, Irina Palacín/0000-0003-1420-9940; Peinado, Hector/0000-0002-4256-3413; Madurga, Rodrigo/0000-0002-1381-2599; Belda Iniesta, Cristobal/0000-0003-3254-7492; GARCIA-ROMERO, NOEMI/0000-0001-7744-8848</t>
  </si>
  <si>
    <t>1479-5876</t>
  </si>
  <si>
    <t>10.1186/s12967-019-1825-3</t>
  </si>
  <si>
    <t>WOS:000461326700001</t>
  </si>
  <si>
    <t>Zahran, R; Ghozy, A; Elkholy, SS; El-Taweel, F; Abu El-Magd, M</t>
  </si>
  <si>
    <t>Zahran, Rasha; Ghozy, Asmaa; Elkholy, Sanad S.; El-Taweel, Fathy; Abu El-Magd, Mohammed</t>
  </si>
  <si>
    <t>Combination therapy with melatonin, stem cells and extracellular vesicles is effective in limiting renal ischemia-reperfusion injury in a rat model</t>
  </si>
  <si>
    <t>INTERNATIONAL JOURNAL OF UROLOGY</t>
  </si>
  <si>
    <t>exosomes; ischemia-reperfusion injury; melatonin; mesenchymal stem cells; oxidative stress</t>
  </si>
  <si>
    <t>OXIDATIVE STRESS; KIDNEY INJURY; EXOSOMES; ACTIVATION; RECOVERY; SURVIVAL</t>
  </si>
  <si>
    <t>Objective To evaluate the therapeutic value of melatonin, mesenchymal stem cells and their extracellular vesicles, exosomes, on renal ischemia-reperfusion. Methods Female albino rats (n = 64) were divided into eight groups (n = 8 per group): control, sham (only laparotomy), renal ischemia-reperfusion (renal ischemia-reperfusion + phosphate-buffered saline), melatonin (renal ischemia-reperfusion + melatonin), mesenchymal stem cells (renal ischemia-reperfusion + mesenchymal stem cells), exosomes (renal ischemia-reperfusion + exosomes), melatonin + mesenchymal stem cells (renal ischemia-reperfusion + melatonin + mesenchymal stem cells) and melatonin + exosomes (renal ischemia-reperfusion + melatonin + exosomes). After the establishment of the renal ischemia-reperfusion model, rats in each group were bilaterally injected once with either mesenchymal stem cells or exosomes in both renal arteries during reperfusion. Results Notable improvement of renal ischemia-reperfusion was obtained after different treatments, as evidenced by a lower histopathological score of kidney injury; decreased serum levels of urea, creatinine and retinol-binding protein; reduced lipid peroxidation marker malondialdehyde; increased superoxide dismutase and catalase activities; reduced apoptosis (lower DNA damage and B-cell lymphoma 2-associated X protein, and higher B-cell lymphoma 2 genes/proteins); and inhibition of kidney inflammatory and damage markers (tumor necrosis alpha, interleukin-1 beta, nuclear factor kappa B, kidney injury molecule-1,IL-18, matrix metalloproteinase 9, neutrophil gelatinase-associated lipocalin). The improvement order was (highest to lowest): melatonin + exosomes, melatonin + mesenchymal stem cells, exosomes, mesenchymal stem cells and melatonin group. Conclusions Our data suggest a potential therapeutic effect of combined therapy with melatonin, mesenchymal stem cells and their exosomes to minimize renal ischemia-reperfusion injury in rats.</t>
  </si>
  <si>
    <t>[Zahran, Rasha; Ghozy, Asmaa] Damietta Univ, Fac Sci, Dept Chem, Biochem Div, Dumyat, Egypt; [Elkholy, Sanad S.] Kafrelsheikh Univ, Fac Med, Dept Physiol, Kafr El Shaikh, Egypt; [El-Taweel, Fathy] Damietta Univ, Fac Sci, Dept Chem, Dumyat, Egypt; [Abu El-Magd, Mohammed] Kafrelsheikh Univ, Fac Vet Med, Dept Anat, Kafr El Shaikh 33516, Egypt</t>
  </si>
  <si>
    <t>Egyptian Knowledge Bank (EKB); Damietta University; Egyptian Knowledge Bank (EKB); Kafrelsheikh University; Egyptian Knowledge Bank (EKB); Damietta University; Egyptian Knowledge Bank (EKB); Kafrelsheikh University</t>
  </si>
  <si>
    <t>Abu El-Magd, M (corresponding author), Kafrelsheikh Univ, Fac Vet Med, Dept Anat, Kafr El Shaikh 33516, Egypt.</t>
  </si>
  <si>
    <t>mohamed.abouelmagd@vet.kfs.edu.eg</t>
  </si>
  <si>
    <t>El-Magd, Mohammed/O-2673-2019</t>
  </si>
  <si>
    <t>zahran, Rasha/0000-0001-9530-1751</t>
  </si>
  <si>
    <t>0919-8172</t>
  </si>
  <si>
    <t>1442-2042</t>
  </si>
  <si>
    <t>10.1111/iju.14345</t>
  </si>
  <si>
    <t>WOS:000559460000001</t>
  </si>
  <si>
    <t>Rajkumar, AP; Hye, A; Lange, J; Manesh, YR; Ballard, C; Fladby, T; Aarsland, D</t>
  </si>
  <si>
    <t>Rajkumar, Anto P.; Hye, Abdul; Lange, Johannes; Manesh, Yazmin Rashid; Ballard, Clive; Fladby, Tormod; Aarsland, Dag</t>
  </si>
  <si>
    <t>Next-Generation RNA-Sequencing of Serum Small Extracellular Vesicles Discovers Potential Diagnostic Biomarkers for Dementia With Lewy Bodies</t>
  </si>
  <si>
    <t>AMERICAN JOURNAL OF GERIATRIC PSYCHIATRY</t>
  </si>
  <si>
    <t>Lewy body dementia; exosomes; high-throughput RNA sequencing; quantitative real-time polymerase; chain reaction; biomarkers</t>
  </si>
  <si>
    <t>ALZHEIMERS-DISEASE; ALPHA-SYNUCLEIN; CEREBROSPINAL-FLUID; EXPRESSION ANALYSIS; PARKINSONS-DISEASE; VALIDATION; VARIANTS; EXOSOMES; GENE; MICRORNAS</t>
  </si>
  <si>
    <t>Objective: There is an urgent clinical need for identifying blood-based diagnostic biomarkers for Dementia with Lewy Bodies (DLB). Transcriptomic studies have reported unique RNA changes in postmortem DLB brains. Small extracellular vesicles (SEV) that transport RNA between brain and peripheral circulation enable identifying molecular changes in living human brain. Hence, we aimed to identify differentially expressed RNA in serum SEVs from people with DLB. Methods: We investigated serum SEV total RNA profiles in people with DLB (n = 10) and age and gender matched comparisons (n = 10) using next generation RNA-sequencing. SEVs were separated by ultracentrifugation with density gradient and were characterized by nanoparticle analysis and western blotting. We verified the differential expression levels of identified differentially expressed genes (DEG) using high-throughput qPCR. Functional implications of identified DEG were evaluated using Ingenuity pathway analyses. Results: We identified 846 nominally significant DEG including 30 miRNAs in DLB serum SEVs. We identified significant downregulation of proinflammatory genes, IL1B, CXCL8, and IKBKB. Previously reported postmortem DLB brain DEGs were significantly enriched (x(2)=4.99; df=1; p = 0.03) among the identified DEGs, and the differential expression of 40 postmortem DLB brain DEGs could be detected in serum SEVs of people living with DLB. Functional pathway and network analyses highlighted the importance of immunosenescence, ubiquitin proteasome system (UPS) dysfunction, DNA repair, and RNA post-transcriptional modification deficits in DLB pathology. Conclusion: Identified DEGs, especially reduced expression levels of inflammation, and UPS-associated RNA, may aid diagnosing DLB, and their biomarker potential warrants further investigation in larger clinical cohorts. Our findings corroborate the absence of chronic neuroinflammation in DLB.</t>
  </si>
  <si>
    <t>[Rajkumar, Anto P.; Hye, Abdul; Manesh, Yazmin Rashid; Ballard, Clive; Aarsland, Dag] Kings Coll London, Dept Old Age Psychiat, Inst Psychiat Psychol &amp; Neurosci, London, England; [Rajkumar, Anto P.] Univ Nottingham, Div Psychiat &amp; Appl Psychol, Jubilee Campus,Triumph Rd, Nottingham NG7 2TU, England; [Rajkumar, Anto P.; Aarsland, Dag] South London &amp; Maudsley NHS Fdn Trust, NIHR Biomed Res Ctr Mental Hlth, London, England; [Lange, Johannes] Stavanger Univ Hosp, Norwegian Ctr Movement Disorders, Stanvanger, Norway; [Ballard, Clive] Exeter Univ, Med Sch, Exeter, Devon, England; [Fladby, Tormod] Univ Oslo, Dept Neurol, Akershus Univ Hosp, Lorenskog, Norway</t>
  </si>
  <si>
    <t>University of London; King's College London; University of Nottingham; South London &amp; Maudsley NHS Trust; University of London; King's College London; Stavanger University Hospital; University of Exeter; University of Oslo</t>
  </si>
  <si>
    <t>Rajkumar, AP (corresponding author), Univ Nottingham, Div Psychiat &amp; Appl Psychol, Jubilee Campus,Triumph Rd, Nottingham NG7 2TU, England.</t>
  </si>
  <si>
    <t>Anto.Rajamani@nottingham.ac.uk</t>
  </si>
  <si>
    <t>Rajkumar, Anto P./0000-0003-3203-6326; Ballard, Clive/0000-0003-0022-5632</t>
  </si>
  <si>
    <t>1064-7481</t>
  </si>
  <si>
    <t>1545-7214</t>
  </si>
  <si>
    <t>10.1016/j.jagp.2020.10.012</t>
  </si>
  <si>
    <t>Geriatrics &amp; Gerontology; Gerontology; Psychiatry</t>
  </si>
  <si>
    <t>Geriatrics &amp; Gerontology; Psychiatry</t>
  </si>
  <si>
    <t>WOS:000651382700010</t>
  </si>
  <si>
    <t>Garcia, JM; Garcia, V; Pena, C; Dominguez, G; Silva, J; Diaz, R; Espinosa, P; Citores, MJ; Collado, M; Bonilla, F</t>
  </si>
  <si>
    <t>Garcia, Jose Miguel; Garcia, Vanesa; Pena, Cristina; Dominguez, Gemma; Silva, Javier; Diaz, Raquel; Espinosa, Pablo; Citores, Maria Jesus; Collado, Manuel; Bonilla, Felix</t>
  </si>
  <si>
    <t>Extracellular plasma RNA from colon cancer patients is confined in a vesicle-like structure and is mRNA-enriched</t>
  </si>
  <si>
    <t>RNA</t>
  </si>
  <si>
    <t>vesicle-like structures; plasma mRNA; colon cancer</t>
  </si>
  <si>
    <t>CIRCULATING TUMOR-CELLS; BLOOD-PLASMA; FREE DNA; SERUM; FIBROBLASTS; EXOSOMES; SURVIVAL; RELEASE; MARKER; NMR</t>
  </si>
  <si>
    <t>Little is yet known about the origin and protective mechanism of free nucleic acids in plasma. We investigated the possibility of these free nucleic acids being particle associated. Plasma samples from colon cancer patients and cell culture media were subjected to various antibody incubations, ultracentrifugation, and RNA extraction protocols for total RNA, epithelial RNA, and mRNA. Flow cytometry using a Ber-EP4 antibody and confocal laser microscopy after staining with propidium iodide were also performed. mRNA levels of the LISCH7 and SDHA genes were determined in cells and in culture media. Ber-EP4 antibody and polystyrene beads coated with oligo dT sequences were employed. We observed that, after incubation, total RNA and mRNA were always detected after membrane digestion, and that epithelial RNA was detected before this procedure. In ultracentrifugation, mRNA was caught in the supernatant only if a former lysis mediated or in the pellet if there was no previous digestion. Flow cytometry determinations showed that antibody-coated microbeads keep acellular structures bearing epithelial antigens apart. Confocal laser microscopy made 1- to 2- mm-diameter particles perceptible in the vicinity of magnetic polystyrene beads. Relevant differences were observed between mRNA of cells and culture media, as there was a considerable difference in LISCH7 mRNA levels between HT29 and IMR90 cell co-cultures and their culture media. Our results support the view that extracellular RNA found in plasma from cancer patients circulates in association with or is protected in a multiparticle complex, and that an active release mechanism by tumor cells may be a possible origin.</t>
  </si>
  <si>
    <t>[Garcia, Jose Miguel; Garcia, Vanesa; Pena, Cristina; Dominguez, Gemma; Silva, Javier; Diaz, Raquel; Espinosa, Pablo; Bonilla, Felix] Hosp Univ Puerta Hierro, Dept Med Oncol, E-28035 Madrid, Spain; [Citores, Maria Jesus] Hosp Univ Puerta Hierro, Dept Tumor Immunol, E-28035 Madrid, Spain; [Collado, Manuel] Spanish Natl Canc Ctr CNIO, Tumor Suppress Grp, E-28029 Madrid, Spain</t>
  </si>
  <si>
    <t>Hospital Puerta de Hierro-Majadahonda; Hospital Puerta de Hierro-Majadahonda; Centro Nacional de Investigaciones Oncologicas (CNIO)</t>
  </si>
  <si>
    <t>Bonilla, F (corresponding author), Hosp Univ Puerta Hierro, Dept Med Oncol, C San Martin Porres 4, E-28035 Madrid, Spain.</t>
  </si>
  <si>
    <t>fbonilla.hpth@salud.madrid.org</t>
  </si>
  <si>
    <t>Citores, Maria J/O-1588-2019; Collado, Manuel/K-8140-2014</t>
  </si>
  <si>
    <t>Citores, Maria J/0000-0002-6662-2676; Collado, Manuel/0000-0002-0330-0880; Garcia-Barberan, Vanesa/0000-0002-2531-0203; DIAZ MARTINEZ, RAQUEL/0000-0001-9748-3464; Espinosa Lara, Pablo/0000-0003-0692-7301</t>
  </si>
  <si>
    <t>1355-8382</t>
  </si>
  <si>
    <t>1469-9001</t>
  </si>
  <si>
    <t>10.1261/rna.755908</t>
  </si>
  <si>
    <t>WOS:000256879800017</t>
  </si>
  <si>
    <t>Nonaka, T; Wong, DTW</t>
  </si>
  <si>
    <t>Nonaka, Taichiro; Wong, David T. W.</t>
  </si>
  <si>
    <t>Saliva Diagnostics</t>
  </si>
  <si>
    <t>ANNUAL REVIEW OF ANALYTICAL CHEMISTRY</t>
  </si>
  <si>
    <t>saliva liquid biopsy; salivaomics; saliva exosomics; salivary exosomes; circulating biomarkers</t>
  </si>
  <si>
    <t>EPIDERMAL-GROWTH-FACTOR; SQUAMOUS-CELL CARCINOMA; CLINICAL BIOMARKER; PROTEOMIC ANALYSIS; MUTATION DETECTION; LIQUID BIOPSIES; CANCER-PATIENTS; FACTOR RECEPTOR; BREAST-CANCER; FREE DNA</t>
  </si>
  <si>
    <t>Cancer remains one of the leading causes of death, and early detection of this disease is crucial for increasing survival rates. Although cancer can be diagnosed following tissue biopsy, the biopsy procedure is invasive; liquid biopsy provides an alternative that is more comfortable for the patient. While blood, urine, and cerebral spinal fluid can all be used as a source of liquid biopsy, saliva is an ideal source of body fluid that is readily available and easily collected in themost noninvasive manner. Characterization of salivary constituents in the disease setting provides critical data for understanding pathophysiology and the evaluation of diagnostic potential. The aim of saliva diagnostics is therefore to develop a rapid and noninvasive detection of oral and systemic diseases that could be used together with compact analysis systems in the clinic to facilitate point-of-care diagnostics.</t>
  </si>
  <si>
    <t>[Nonaka, Taichiro] Louisiana State Univ, Dept Cellular Biol &amp; Anat, Hlth Sci Ctr, Shreveport, LA 71105 USA; [Wong, David T. W.] Univ Calif Los Angeles, Sch Dent, Div Oral Biol &amp; Med, Los Angeles, CA 90024 USA</t>
  </si>
  <si>
    <t>Louisiana State University System; Louisiana State University Health Sciences Center at Shreveport; University of California System; University of California Los Angeles</t>
  </si>
  <si>
    <t>Nonaka, T (corresponding author), Louisiana State Univ, Dept Cellular Biol &amp; Anat, Hlth Sci Ctr, Shreveport, LA 71105 USA.</t>
  </si>
  <si>
    <t>taichiro.nonaka@lsuhs.edu; dtww@ucla.edu</t>
  </si>
  <si>
    <t>1936-1327</t>
  </si>
  <si>
    <t>1936-1335</t>
  </si>
  <si>
    <t>10.1146/annurev-anchem-061020-123959</t>
  </si>
  <si>
    <t>Chemistry, Analytical; Spectroscopy</t>
  </si>
  <si>
    <t>Chemistry; Spectroscopy</t>
  </si>
  <si>
    <t>WOS:000811232400006</t>
  </si>
  <si>
    <t>An, Y; Jin, TY; Zhu, YY; Zhang, F; He, PG</t>
  </si>
  <si>
    <t>An, Yu; Jin, Tongyu; Zhu, Yuyuan; Zhang, Fan; He, Pingang</t>
  </si>
  <si>
    <t>An ultrasensitive electrochemical aptasensor for the determination of tumor exosomes based on click chemistry</t>
  </si>
  <si>
    <t>Exosomes; Alkynyl-4-ONE; Click chemistry; Aptamer; Electrochemical aptasensor</t>
  </si>
  <si>
    <t>EXTRACELLULAR VESICLES; MICROVESICLES; GRAPHENE</t>
  </si>
  <si>
    <t>Exosomes, lipid bilayer membrane vesicles, can guide various pathological and physiological processes. However, reliable, convenient and sensitive methods for exosome determination for early cancer diagnosis are still technically challenging. Herein, an electrochemical aptasensor based on click chemistry and the DNA hybridization chain reaction (HCR) for signal amplification has been developed for the ultrasensitive detection of tumor exosomes. CD63 aptamer was first immobilized on a glassy carbon electrode for capturing exosomes, and 4-oxo-2-nonenal alkyne (alkynyl-4-ONE) molecules, functionalized lipid electrophiles, were conjugated to the exosomes via the reaction of amino and aldehyde groups. Azide-labeled DNA probe as an anchor was then connected to the exosomes by copper (I)-catalyzed click chemistry. Signal amplification was achieved by HCR, and the numerous linked horseradish peroxidase (HRP) molecules could catalyze the reaction of o-phenylenediamine (OPD) and H2O2. The concentration of exosomes could be quantified by monitoring the electrochemical reduction current of 2,3-diaminophenazine (DAP). Under the optimal conditions, this method allowed the sensitive detection of exosomes in the range of 1.12 x 10(2) to 1.12 x 10(8) particles/mu L with a limit of detection (LOD) of 96 particles/mu L. Furthermore, the present assay enabled sensitive and accurate quantification of exosomes in human serum, and it has high potential for exosome analysis in clinical samples.</t>
  </si>
  <si>
    <t>[An, Yu; Jin, Tongyu; Zhu, Yuyuan; Zhang, Fan; He, Pingang] East China Normal Univ, Sch Chem &amp; Mol Engn, 500 Dongchuan Rd, Shanghai 200241, Peoples R China</t>
  </si>
  <si>
    <t>East China Normal University</t>
  </si>
  <si>
    <t>Zhang, F (corresponding author), East China Normal Univ, Sch Chem &amp; Mol Engn, 500 Dongchuan Rd, Shanghai 200241, Peoples R China.</t>
  </si>
  <si>
    <t>fzhang@chem.ecnu.edu.cn</t>
  </si>
  <si>
    <t>10.1016/j.bios.2019.111503</t>
  </si>
  <si>
    <t>WOS:000487175000033</t>
  </si>
  <si>
    <t>Dong, J; Sakai, K; Koma, Y; Watanabe, J; Liu, KH; Maruyama, H; Sakaguchi, K; Hibi, H</t>
  </si>
  <si>
    <t>Dong, Jiao; Sakai, Kiyoshi; Koma, Yoshiro; Watanabe, Junna; Liu, Kehong; Maruyama, Hiroshi; Sakaguchi, Kohei; Hibi, Hideharu</t>
  </si>
  <si>
    <t>Dental pulp stem cell-derived small extracellular vesicle in irradiation-induced senescence</t>
  </si>
  <si>
    <t>BIOCHEMICAL AND BIOPHYSICAL RESEARCH COMMUNICATIONS</t>
  </si>
  <si>
    <t>Cellular senescence; Human dental pulp stem cell; Salivary gland hypofunction; DNA damage Response; Oxidative stress; Small extracellular vesicle</t>
  </si>
  <si>
    <t>EXOSOMES; REPAIR</t>
  </si>
  <si>
    <t>Small extracellular vesicles (sEV) facilitate signaling molecule transfer among cells. We examined the therapeutic efficacy of human dental pulp stem cell-derived sEV (hDPSC-sEV) against cellular senescence in an irradiated-submandibular gland mouse model. Seven-week-old mice were exposed to 25 Gy radiation and randomly assigned to control, phosphate-buffered saline (PBS), or hDPSC-sEV groups. At 18 days post-irradiation, saliva production was measured; histological and reverse transcription-quantitative PCR analyses of the submandibular glands were performed. The salivary flow rate did not differ significantly between the PBS and hDPSC-sEV groups. AQP5-expressing acinar cell numbers and AQP5 expression levels in the submandibular glands were higher in the hDPSC-sEV group than in the other groups. Furthermore, compared with non-irradiated mice, mice in the 25 Gy thorn PBS group showed a high senescence-associated-beta-galactosidase-positive cell number and upregulated senescence-related gene (p16(INK4a), p19(Arf), p21) and senescence-associated secretory phenotypic factor (MMP3, IL-6, PAI-1, NF-kappa B, and TGF-beta) expression, all of which were downregulated in the hDPSC-sEV group. Superoxide dismutase levels were lower in the PBS group than in the hDPSC-sEV group. In summary, hDPSC-sEV reduced inflammatory cytokine and senescence-related gene expression and reversed oxidative stress in submandibular cells, thereby preventing irradiation-induced cellular senescence. Based on these results, we hope to contribute to the development of innovative treatment methods for salivary gland dysfunction that develops after radiotherapy for head and neck cancer. (C) 2021 Elsevier Inc. All rights reserved.</t>
  </si>
  <si>
    <t>[Dong, Jiao; Koma, Yoshiro; Liu, Kehong; Maruyama, Hiroshi; Hibi, Hideharu] Nagoya Univ, Dept Oral &amp; Maxillofacial Surg, Grad Sch Med, Nagoya, Aichi, Japan; [Sakai, Kiyoshi; Watanabe, Junna; Sakaguchi, Kohei; Hibi, Hideharu] Nagoya Univ Hosp, Dept Oral &amp; Maxillofacial Surg, Nagoya, Aichi, Japan; [Dong, Jiao] Lund Univ, Dept Expt Med Sci, Lung Bioengn &amp; Regenerat, Fac Med, Lund, Sweden</t>
  </si>
  <si>
    <t>Nagoya University; Nagoya University; Lund University</t>
  </si>
  <si>
    <t>Sakai, K (corresponding author), Nagoya Univ Hosp, Dept Oral &amp; Maxillofacial Surg, Showa Ku, 65 Tsurumai Cho, Nagoya, Aichi 4668550, Japan.</t>
  </si>
  <si>
    <t>www-kiyo@med.nagoya-u.ac.jp</t>
  </si>
  <si>
    <t>Koma, Yoshiro/0000-0001-8387-3410</t>
  </si>
  <si>
    <t>0006-291X</t>
  </si>
  <si>
    <t>1090-2104</t>
  </si>
  <si>
    <t>OCT 20</t>
  </si>
  <si>
    <t>10.1016/j.bbrc.2021.08.046</t>
  </si>
  <si>
    <t>Biochemistry &amp; Molecular Biology; Biophysics</t>
  </si>
  <si>
    <t>WOS:000690505600003</t>
  </si>
  <si>
    <t>Roy, N; Gaikwad, M; Bhattacharrya, DK; Barah, P</t>
  </si>
  <si>
    <t>Roy, Nabanita; Gaikwad, Mithil; Bhattacharrya, Dhruba Kr; Barah, Pankaj</t>
  </si>
  <si>
    <t>Identification of Systems Level Molecular Signatures from Glioblastoma Multiforme Derived Extracellular Vesicles</t>
  </si>
  <si>
    <t>JOURNAL OF MOLECULAR NEUROSCIENCE</t>
  </si>
  <si>
    <t>Glioblastoma multiforme; Extracellular vesicles; Transcriptomic analysis; Differentially expressed genes; Protein&amp;#8211; protein interactions; Systems biology</t>
  </si>
  <si>
    <t>CYTOMEGALOVIRUS-INFECTION; CANCER; EXPRESSION; RESISTANCE; GENE; UBIQUITIN; PROTEINS; DNA</t>
  </si>
  <si>
    <t>Glioblastoma multiforme (GBM) is one of the most lethal malignancies of the central nervous system characterized by high mortality rate. The complexity of GBM pathogenesis, progression, and prognosis is not fully understood yet. GBM-derived extracellular vesicles (EVs) carry several oncogenic elements that facilitate GBM progression. The purpose of this study was to identify systems level molecular signatures from GBM-derived EVs using integrative analysis of publicly available transcriptomic data generated from plasma and serum samples. The dataset contained 19 samples in total, of which 15 samples were from plasma (11 GBM patients and 4 healthy samples) and 4 samples were from serum (2 GBM and 2 healthy samples). We carried out statistical analysis to identify differentially expressed genes (DEGs), functional enrichment analysis of the DEGs, protein-protein interaction networks, module analysis, transcription factors and target gene regulatory networks analysis, and identification of hub genes. The differential expression of the identified hub genes were validated with the independent TCGA-GBM dataset. We have identified a few crucial genes and pathways associated with GBM prognosis and therapy resistance. The DEGs identified from plasma were associated with inflammatory processes and viral infection. On the other hand, the hub genes identified from the serum samples were significantly associated with protein ubiquitinylation processes and cytokine signaling regulation. The findings indicate that GBM-derived plasma and serum DEGs may be associated with distinct cellular processes and pathways which facilitate GBM progression. The findings will provide better understanding of the molecular mechanisms of GBM pathogenesis and progression. These results can further be utilized for developing and validating minimally invasive diagnostic and therapeutic molecular biomarkers for GBM.</t>
  </si>
  <si>
    <t>[Roy, Nabanita; Gaikwad, Mithil; Barah, Pankaj] Tezpur Univ, Dept Mol Biol &amp; Biotechnol, Sonitpur 784028, Assam, India; [Bhattacharrya, Dhruba Kr] Tezpur Univ, Dept Comp Sci &amp; Engn, Sonitpur 784028, Assam, India</t>
  </si>
  <si>
    <t>Tezpur University; Tezpur University</t>
  </si>
  <si>
    <t>Barah, P (corresponding author), Tezpur Univ, Dept Mol Biol &amp; Biotechnol, Sonitpur 784028, Assam, India.</t>
  </si>
  <si>
    <t>barah@tezu.ernet.in</t>
  </si>
  <si>
    <t>Gaikwad, Mithil/0000-0003-2387-8695; Barah, Pankaj/0000-0001-7039-7996; Roy, Nabanita/0000-0001-8724-5323</t>
  </si>
  <si>
    <t>0895-8696</t>
  </si>
  <si>
    <t>1559-1166</t>
  </si>
  <si>
    <t>10.1007/s12031-020-01738-x</t>
  </si>
  <si>
    <t>NOV 2020</t>
  </si>
  <si>
    <t>Biochemistry &amp; Molecular Biology; Neurosciences</t>
  </si>
  <si>
    <t>Biochemistry &amp; Molecular Biology; Neurosciences &amp; Neurology</t>
  </si>
  <si>
    <t>WOS:000592141300001</t>
  </si>
  <si>
    <t>Maire, CL; Fuh, MM; Kaulich, K; Fita, KD; Stevic, I; Heiland, DH; Welsh, JA; Jones, JC; Gorgens, A; Ricklefs, T; Duhrsen, L; Sauvigny, T; Joosse, SA; Reifenberger, G; Pantel, K; Glatzel, M; Miklosi, AG; Felce, JH; Caselli, M; Pereno, V; Reimer, R; Schluter, H; Westphal, M; Schuller, U; Lamszus, K; Ricklefs, FL</t>
  </si>
  <si>
    <t>Maire, Cecile L.; Fuh, Marceline M.; Kaulich, Kerstin; Fita, Krystian D.; Stevic, Ines; Heiland, Dieter H.; Welsh, Joshua A.; Jones, Jennifer C.; Goergens, Andre; Ricklefs, Tammo; Duehrsen, Lasse; Sauvigny, Thomas; Joosse, Simon A.; Reifenberger, Guido; Pantel, Klaus; Glatzel, Markus; Miklosi, Andras G.; Felce, James H.; Caselli, Marco; Pereno, Valerio; Reimer, Rudolph; Schlueter, Hartmut; Westphal, Manfred; Schueller, Ulrich; Lamszus, Katrin; Ricklefs, Franz L.</t>
  </si>
  <si>
    <t>Genome-wide methylation profiling of glioblastoma cell-derived extracellular vesicle DNA allows tumor classification</t>
  </si>
  <si>
    <t>exosome; glioma; methylome; mutation; proteomics</t>
  </si>
  <si>
    <t>DOUBLE-STRANDED DNA; CEREBROSPINAL-FLUID; EGFR AMPLIFICATION; EXOSOMES; MICROVESICLES; BRAIN; SERUM; RNA</t>
  </si>
  <si>
    <t>Background. Genome-wide DNA methylation profiling has recently been developed into a tool that allows tumor classification in central nervous system tumors. Extracellular vesicles (EVs) are released by tumor cells and contain high molecular weight DNA, rendering EVs a potential biomarker source to identify tumor subgroups, stratify patients and monitor therapy by liquid biopsy. We investigated whether the DNA in glioblastoma cell-derived EVs reflects genome-wide tumor methylation and mutational profiles and allows noninvasive tumor subtype classification. Methods. DNA was isolated from EVs secreted by glioblastoma cells as well as from matching cultured cells and tumors. EV-DNA was localized and quantified by direct stochastic optical reconstruction microscopy. Methylation and copy number profiling was performed using 850k arrays. Mutations were identified by targeted gene panel sequencing. Proteins were differentially quantified by mass spectrometric proteomics. Results. Genome-wide methylation profiling of glioblastoma-derived EVs correctly identified the methylation class of the parental cells and original tumors, including the MGMT promoter methylation status. Tumor-specific mutations and copy number variations (CNV) were detected in EV-DNA with high accuracy. Different EV isolation techniques did not affect the methylation profiling and CNV results. DNA was present inside EVs and on the EV surface. Proteome analysis did not allow specific tumor identification or classification but identified tumor-associated proteins that could potentially be useful for enriching tumor-derived circulating EVs from biofluids. Conclusions. This study provides proof of principle that EV-DNA reflects the genome-wide methylation, CNV, and mutational status of glioblastoma cells and enables their molecular classification.</t>
  </si>
  <si>
    <t>[Maire, Cecile L.; Fita, Krystian D.; Stevic, Ines; Ricklefs, Tammo; Duehrsen, Lasse; Sauvigny, Thomas; Westphal, Manfred; Lamszus, Katrin; Ricklefs, Franz L.] Univ Med Ctr Hamburg Eppendorf, Dept Neurosurg, Martinistr 52, D-20246 Hamburg, Germany; [Fuh, Marceline M.] Univ Med Ctr Hamburg Eppendorf, Dept Biochem &amp; Mol Cell Biol, Hamburg, Germany; [Joosse, Simon A.; Pantel, Klaus] Univ Med Ctr Hamburg Eppendorf, Dept Tumor Biol, Hamburg, Germany; [Joosse, Simon A.] Univ Med Ctr Hamburg Eppendorf, Mildred Scheel Canc Career Ctr HaTriCS4, Hamburg, Germany; [Glatzel, Markus; Schueller, Ulrich] Univ Med Ctr Hamburg Eppendorf, Inst Neuropathol, Hamburg, Germany; [Schlueter, Hartmut] Univ Med Ctr Hamburg Eppendorf, Inst Clin Chem &amp; Lab Med, Hamburg, Germany; [Schueller, Ulrich] Univ Med Ctr Hamburg Eppendorf, Dept Pediat Hematol &amp; Oncol, Hamburg, Germany; [Schueller, Ulrich] Univ Med Ctr Hamburg Eppendorf, Res Inst Childrens Canc Ctr Hamburg, Hamburg, Germany; [Reimer, Rudolph] Leibniz Inst Expt Virol, Heinrich Pette Inst, Hamburg, Germany; [Kaulich, Kerstin; Reifenberger, Guido] Univ Duesseldorf, Inst Neuropathol, Dusseldorf, Germany; [Heiland, Dieter H.] Univ Freiburg, Dept Neurosurg, Med Ctr, Freiburg, Germany; [Welsh, Joshua A.; Jones, Jennifer C.] NCI, Translat Nanobiol Sect, Lab Pathol, NIH, Bethesda, MD 20892 USA; [Goergens, Andre] Karolinska Inst, Clin Res Ctr, Dept Lab Med, Stockholm, Sweden; [Goergens, Andre] Univ Duisburg Essen, Univ Hosp Essen, Inst Transfus Med, Essen, Germany; [Goergens, Andre] Evox Therapeut Ltd, Oxford, England; [Miklosi, Andras G.; Felce, James H.; Caselli, Marco; Pereno, Valerio] Oxford Nanoimaging Ltd, Oxford, England</t>
  </si>
  <si>
    <t>University of Hamburg; University Medical Center Hamburg-Eppendorf; University of Hamburg; University Medical Center Hamburg-Eppendorf; University of Hamburg; University Medical Center Hamburg-Eppendorf; University of Hamburg; University Medical Center Hamburg-Eppendorf; University of Hamburg; University Medical Center Hamburg-Eppendorf; University of Hamburg; University Medical Center Hamburg-Eppendorf; University of Hamburg; University Medical Center Hamburg-Eppendorf; University of Hamburg; University Medical Center Hamburg-Eppendorf; Heinrich Pette Institute; University of Freiburg; National Institutes of Health (NIH) - USA; NIH National Cancer Institute (NCI); Karolinska Institutet; University of Duisburg Essen</t>
  </si>
  <si>
    <t>Ricklefs, FL (corresponding author), Univ Med Ctr Hamburg Eppendorf, Dept Neurosurg, Martinistr 52, D-20246 Hamburg, Germany.;Lamszus, K (corresponding author), Univ Med Ctr Hamburg Eppendorf, Dept Neurosurg, Lab Brain Tumor Biol, Martinistr 52, D-20246 Hamburg, Germany.</t>
  </si>
  <si>
    <t>lamszus@uke.de; f.ricklefs@uke.de</t>
  </si>
  <si>
    <t>Welsh, Joshua A./I-8560-2017; Jones, Jennifer C/C-8691-2015; Görgens, André/C-3835-2016</t>
  </si>
  <si>
    <t>Welsh, Joshua A./0000-0002-1097-9756; Jones, Jennifer C/0000-0002-9488-7719; Görgens, André/0000-0001-9198-0857</t>
  </si>
  <si>
    <t>10.1093/neuonc/noab012</t>
  </si>
  <si>
    <t>JAN 2021</t>
  </si>
  <si>
    <t>WOS:000715361700009</t>
  </si>
  <si>
    <t>Yang, TH; He, RY; Li, GZ; Liang, J; Zhao, L; Zhao, X; Li, LY; Wang, P</t>
  </si>
  <si>
    <t>Yang, Tianhui; He, Ruyi; Li, Gongzhe; Liang, Jia; Zhao, Liang; Zhao, Xing; Li, Liyang; Wang, Peng</t>
  </si>
  <si>
    <t>Growth arrest and DNA damage-inducible protein 34 (GADD34) contributes to cerebral ischemic injury and can be detected in plasma exosomes</t>
  </si>
  <si>
    <t>NEUROSCIENCE LETTERS</t>
  </si>
  <si>
    <t>GADD34; Plasma exosomes; Ischemic stroke; Biomarker</t>
  </si>
  <si>
    <t>ALPHA-SYNUCLEIN; MOUSE-BRAIN; TRANSMISSION; INHIBITION; APOPTOSIS; DISEASES</t>
  </si>
  <si>
    <t>Growth arrest and DNA damage-inducible protein 34 (GADD34), one of the key effectors of negative feedback loops, is induced by stress and subsequently attempts to restore homeostasis. It plays a critical role in response to DNA damage and endoplasmic reticulum stress. GADD34 has opposing effects on different stimulus-induced cell apoptosis events in many nervous system diseases, but its role in ischemic stroke is unclear. In this study, we evaluated the role of GADD34 and its distribution in a rat cerebral ischemic model. The results showed that GADD34 was increased in the cortex and contributed to brain injury in ischemic rats. Furthermore, treatment with a GADD34 inhibitor reduced the infarct volume, improved functional outcomes, and inhibited neuronal apoptosis in the cortical penumbra after ischemia. The role of GADD34 in ischemic stroke was associated with the dephosphorylation of eukaryotic translation initiation factor 2 alpha (eIF2 alpha) and phosphorylation of p53. In addition, the GADD34 level was increased in plasma exosomes of cerebral ischemic rats. These findings indicate that GADD34 could be a potential therapeutic target and biomarker for ischemic stroke.</t>
  </si>
  <si>
    <t>[Yang, Tianhui; Wang, Peng] Jinzhou Med Univ, Dept Neurobiol, 40,Sect 3,Songpo Rd, Jinzhou 121001, Liaoning, Peoples R China; [Yang, Tianhui; Wang, Peng] Jinzhou Med Univ, Key Lab Neurodegenerat Dis Liaoning Prov, 40,Sect 3,Songpo Rd, Jinzhou 121001, Liaoning, Peoples R China; [He, Ruyi; Li, Gongzhe; Zhao, Liang] Jinzhou Med Univ, Coll Pharm, Jinzhou, Liaoning, Peoples R China; [Liang, Jia] Jinzhou Med Univ, Inst Life Sci, Jinzhou, Liaoning, Peoples R China; [Zhao, Xing; Li, Liyang] Liaoning Prov Corps Hosp Chinese Peoples Armed Po, Dept Ophthalmol &amp; Otolaryngol, Shenyang, Liaoning, Peoples R China</t>
  </si>
  <si>
    <t>Jinzhou Medical University; Jinzhou Medical University; Jinzhou Medical University; Jinzhou Medical University</t>
  </si>
  <si>
    <t>Wang, P (corresponding author), Jinzhou Med Univ, Dept Neurobiol, 40,Sect 3,Songpo Rd, Jinzhou 121001, Liaoning, Peoples R China.;Wang, P (corresponding author), Jinzhou Med Univ, Key Lab Neurodegenerat Dis Liaoning Prov, 40,Sect 3,Songpo Rd, Jinzhou 121001, Liaoning, Peoples R China.</t>
  </si>
  <si>
    <t>wangpeng@jzmu.edu.cn</t>
  </si>
  <si>
    <t>0304-3940</t>
  </si>
  <si>
    <t>1872-7972</t>
  </si>
  <si>
    <t>JUL 27</t>
  </si>
  <si>
    <t>10.1016/j.neulet.2021.136004</t>
  </si>
  <si>
    <t>JUN 2021</t>
  </si>
  <si>
    <t>Neurosciences</t>
  </si>
  <si>
    <t>WOS:000663753100007</t>
  </si>
  <si>
    <t>Amrollahi, P; Rodrigues, M; Lyon, CJ; Goel, A; Han, HY; Hu, TY</t>
  </si>
  <si>
    <t>Amrollahi, Pouya; Rodrigues, Meryl; Lyon, Christopher J.; Goel, Ajay; Han, Haiyong; Hu, Tony Y.</t>
  </si>
  <si>
    <t>Ultra-Sensitive Automated Profiling of EpCAM Expression on Tumor-Derived Extracellular Vesicles</t>
  </si>
  <si>
    <t>FRONTIERS IN GENETICS</t>
  </si>
  <si>
    <t>liquid biopsy; extracellular vesicles; exosome; biomarker profiling; EpCAM; automated microscopy</t>
  </si>
  <si>
    <t>GOLD NANORODS; MESENCHYMAL TRANSITION; EXOSOMES; CHALLENGES; SCATTERING; MUTATIONS; SURVIVAL; DNA</t>
  </si>
  <si>
    <t>Extracellular vesicles (EVs) are abundant in most biological fluids and considered promising biomarker candidates, but the development of EV biomarker assays is hindered, in part, by their requirement for prior EV purification and the lack of standardized and reproducible EV isolation methods. We now describe a far-field nanoplasmon-enhanced scattering (FF-nPES) assay for the isolation-free characterization of EVs present in small volumes of serum (&lt; 5 mu l). In this approach, EVs are captured with a cancer-selective antibody, hybridized with gold nanorods conjugated with an antibody to the EV surface protein CD9, and quantified by their ability to scatter light when analyzed using a fully automated dark-field microscope system. Our results indicate that FF-nPES performs similarly to EV ELISA, when analyzing EV surface expression of epithelial cell adhesion molecule (EpCAM), which has clinical significant as a cancer biomarker. Proof-of-concept FF-nPES data indicate that it can directly analyze EV EpCAM expression from serum samples to distinguish early stage pancreatic ductal adenocarcinoma patients from healthy subjects, detect the development of early stage tumors in a mouse model of spontaneous pancreatic cancer, and monitor tumor growth in patient derived xenograft mouse models of pancreatic cancer. FF-nPES thus appears to exhibit strong potential for the direct analysis of EV membrane biomarkers for disease diagnosis and treatment monitoring.</t>
  </si>
  <si>
    <t>[Amrollahi, Pouya; Rodrigues, Meryl; Lyon, Christopher J.; Hu, Tony Y.] Arizona State Univ, Biodesign Inst, Virginia G Piper Biodesign Ctr Personalized Diagn, Tempe, AZ 85287 USA; [Amrollahi, Pouya; Rodrigues, Meryl; Lyon, Christopher J.; Hu, Tony Y.] Arizona State Univ, Sch Biol &amp; Hlth Syst Engn, Tempe, AZ 85287 USA; [Goel, Ajay] Baylor Univ, Med Ctr, Baylor Res Inst, Dallas, TX USA; [Goel, Ajay] Baylor Univ, Med Ctr, Charles A Sammons Canc Ctr, Dallas, TX USA; [Han, Haiyong] Translat Genom Res Inst, Mol Med Div, Phoenix, AZ USA</t>
  </si>
  <si>
    <t>Arizona State University; Arizona State University-Tempe; Arizona State University; Arizona State University-Tempe; Baylor Scott &amp; White Health; Baylor University; Baylor University Medical Center; Baylor University; Baylor University Medical Center; Translational Genomics Research Institute</t>
  </si>
  <si>
    <t>Hu, TY (corresponding author), Arizona State Univ, Biodesign Inst, Virginia G Piper Biodesign Ctr Personalized Diagn, Tempe, AZ 85287 USA.;Hu, TY (corresponding author), Arizona State Univ, Sch Biol &amp; Hlth Syst Engn, Tempe, AZ 85287 USA.</t>
  </si>
  <si>
    <t>yhu16@tulane.edu</t>
  </si>
  <si>
    <t>Hu, Tony/0000-0001-7255-5409; Hu, Tony/0000-0002-5166-4937</t>
  </si>
  <si>
    <t>1664-8021</t>
  </si>
  <si>
    <t>DEC 17</t>
  </si>
  <si>
    <t>10.3389/fgene.2019.01273</t>
  </si>
  <si>
    <t>WOS:000504977100001</t>
  </si>
  <si>
    <t>Laurenzana, I; Trino, S; Lamorte, D; Girasole, M; Dinarelli, S; De Stradis, A; Grieco, V; Maietti, M; Traficante, A; Statuto, T; Villani, O; Musto, P; Sgambato, A; De Luca, L; Caivano, A</t>
  </si>
  <si>
    <t>Laurenzana, Ilaria; Trino, Stefania; Lamorte, Daniela; Girasole, Marco; Dinarelli, Simone; De Stradis, Angelo; Grieco, Vitina; Maietti, Maddalena; Traficante, Antonio; Statuto, Teodora; Villani, Oreste; Musto, Pellegrino; Sgambato, Alessandro; De Luca, Luciana; Caivano, Antonella</t>
  </si>
  <si>
    <t>Analysis of Amount, Size, Protein Phenotype and Molecular Content of Circulating Extracellular Vesicles Identifies New Biomarkers in Multiple Myeloma</t>
  </si>
  <si>
    <t>INTERNATIONAL JOURNAL OF NANOMEDICINE</t>
  </si>
  <si>
    <t>extracellular vesicles; biomarkers; hematological malignancies; nanoparticle tracking analysis; flow cytometry; digital PCR</t>
  </si>
  <si>
    <t>CELL-FREE DNA; FLOW-CYTOMETRY; ACTIVATED PLATELETS; MUTANT KRAS; EXOSOMES; MICROVESICLES; PLASMA; MICRORNA-21; EXPRESSION; MICROSCOPY</t>
  </si>
  <si>
    <t>Introduction: Extracellular vesicles (EVs) are naturally secreted cellular lipid bilayer particles, which carry a selected molecular content. Owing to their systemic availability and their role in tumor pathogenesis, circulating EVs (cEVs) can be a valuable source of new biomarkers useful for tumor diagnosis, prognostication and monitoring. However, a precise approach for isolation and characterization of cEVs as tumor biomarkers, exportable in a clinical setting, has not been conclusively established. Methods: We developed a novel and laboratory-made procedure based on a bench centrifuge step which allows the isolation of serum cEVs suitable for subsequent characterization of their size, amount and phenotype by nanoparticle tracking analysis, microscopy and flow cytometry, and for nucleic acid assessment by digital PCR. Results: Applied to blood from healthy subjects (HSs) and tumor patients, our approach permitted from a small volume of serum (i) the isolation of a great amount of EVs enriched in small vesicles free from protein contaminants; (ii) a suitable and specific cell origin identification of EVs, and (iii) nucleic acid content assessment. In clonal plasma cell malignancy, like multiple myeloma (MM), our approach allowed us to identify specific MM EVs, and to characterize their size, concentration and microRNA content allowing significant discrimination between MM and HSs. Finally, EV associated biomarkers correlated with MM clinical parameters. Conclusion: Overall, our cEV based procedure can play an important role in malignancy biomarker discovery and then in real-time tumor monitoring using minimal invasive samples. From a practical point of view, it is smart (small sample volume), rapid (two hours), easy (no specific expertise required) and requirements are widely available in clinical laboratories.</t>
  </si>
  <si>
    <t>[Laurenzana, Ilaria; Trino, Stefania; Lamorte, Daniela] Ctr Riferimento Oncol Basilicata IRCCS CROB, Lab Preclin &amp; Translat Res, Rionero In Vulture, PZ, Italy; [Girasole, Marco; Dinarelli, Simone] Natl Res Council CNR, Inst Study Struct Matter, Rome, Italy; [De Stradis, Angelo] Natl Res Council CNR, Inst Sustainable Plant Protect, Bari, Italy; [Grieco, Vitina; Statuto, Teodora; De Luca, Luciana; Caivano, Antonella] Ctr Riferimento Oncol Basilicata IRCCS CROB, Lab Clin Res &amp; Adv Diagnost, Rionero In Vulture, PZ, Italy; [Maietti, Maddalena; Traficante, Antonio] Ctr Riferimento Oncol Basilicata IRCCS CROB, Unit Clin Pathol, Rionero In Vulture, PZ, Italy; [Villani, Oreste; Musto, Pellegrino] Ctr Riferimento Oncol Basilicata IRCCS CROB, Hematol &amp; Stem Cell Transplantat Unit, Rionero In Vulture, PZ, Italy; [Sgambato, Alessandro] Ctr Riferimento Oncol Basilicata IRCCS CROB, Sci Direct, Rionero In Vulture, PZ, Italy</t>
  </si>
  <si>
    <t>IRCCS CROB; Consiglio Nazionale delle Ricerche (CNR); Istituto per la Protezione Sostenibile delle Piante (IPSP-CNR); IRCCS CROB; IRCCS CROB; IRCCS CROB; IRCCS CROB</t>
  </si>
  <si>
    <t>Caivano, A (corresponding author), IRCCS CROB, Lab Clin Res &amp; Adv Diagnost, I-85028 Potenza, Italy.</t>
  </si>
  <si>
    <t>antonella.caivano@crob.it</t>
  </si>
  <si>
    <t>GIRASOLE, MARCO/I-6861-2013; Trino, Stefania/K-6574-2016</t>
  </si>
  <si>
    <t>GIRASOLE, MARCO/0000-0001-6146-2979; Grieco, Vitina/0000-0001-7670-4643; Trino, Stefania/0000-0002-0289-5288; CAIVANO, ANTONELLA/0000-0003-2502-4060</t>
  </si>
  <si>
    <t>1178-2013</t>
  </si>
  <si>
    <t>10.2147/IJN.S303391</t>
  </si>
  <si>
    <t>Nanoscience &amp; Nanotechnology; Pharmacology &amp; Pharmacy</t>
  </si>
  <si>
    <t>Science &amp; Technology - Other Topics; Pharmacology &amp; Pharmacy</t>
  </si>
  <si>
    <t>WOS:000648450100001</t>
  </si>
  <si>
    <t>Balaj, L; Atai, NA; Chen, WL; Mu, D; Tannous, BA; Breakefield, XO; Skog, J; Maguire, CA</t>
  </si>
  <si>
    <t>Balaj, Leonora; Atai, Nadia A.; Chen, Weilin; Mu, Dakai; Tannous, Bakhos A.; Breakefield, Xandra O.; Skog, Johan; Maguire, Casey A.</t>
  </si>
  <si>
    <t>Heparin affinity purification of extracellular vesicles</t>
  </si>
  <si>
    <t>SULFATE PROTEOGLYCANS; PROTEOMIC ANALYSIS; EXOSOMES; MICROVESICLES; PROTEINS; RNA; IDENTIFICATION; BIOMARKERS; ELEMENTS; CELLS</t>
  </si>
  <si>
    <t>Extracellular vesicles (EVs) are lipid membrane vesicles released by cells. They carry active biomolecules including DNA, RNA, and protein which can be transferred to recipient cells. Isolation and purification of EVs from culture cell media and biofluids is still a major challenge. The most widely used isolation method is ultracentrifugation (UC) which requires expensive equipment and only partially purifies EVs. Previously we have shown that heparin blocks EV uptake in cells, supporting a direct EV-heparin interaction. Here we show that EVs can be purified from cell culture media and human plasma using ultrafiltration (UF) followed by heparin-affinity beads. UF/heparinpurified EVs from cell culture displayed the EV marker Alix, contained a diverse RNA profile, had lower levels of protein contamination, and were functional at binding to and uptake into cells. RNA yield was similar for EVs isolated by UC. We were able to detect mRNAs in plasma samples with comparable levels to UC samples. In conclusion, we have discovered a simple, scalable, and effective method to purify EVs taking advantage of their heparin affinity.</t>
  </si>
  <si>
    <t>[Balaj, Leonora; Atai, Nadia A.; Chen, Weilin; Mu, Dakai; Tannous, Bakhos A.; Breakefield, Xandra O.; Maguire, Casey A.] Massachusetts Gen Hosp, Dept Neurol, Boston, MA 02114 USA; [Balaj, Leonora; Atai, Nadia A.; Chen, Weilin; Mu, Dakai; Tannous, Bakhos A.; Breakefield, Xandra O.; Maguire, Casey A.] Harvard Univ, Sch Med, Program Neurosci, Boston, MA 02115 USA; [Breakefield, Xandra O.] Massachusetts Gen Hosp, Dept Radiol, Boston, MA 02114 USA; [Atai, Nadia A.] Univ Amsterdam, Acad Med Ctr, Dept Cell Biol &amp; Histol, NL-1012 WX Amsterdam, Netherlands; [Skog, Johan] Exosome Diagnost Inc, Cambridge, MA USA</t>
  </si>
  <si>
    <t>Harvard University; Massachusetts General Hospital; Harvard University; Harvard University; Massachusetts General Hospital; University of Amsterdam; Academic Medical Center Amsterdam</t>
  </si>
  <si>
    <t>Maguire, CA (corresponding author), Massachusetts Gen Hosp, Dept Neurol, Boston, MA 02114 USA.</t>
  </si>
  <si>
    <t>cmaguire@mgh.harvard.edu</t>
  </si>
  <si>
    <t>Skog, Johan/0000-0002-0926-1691; Balaj, Leonora/0000-0003-0931-9715</t>
  </si>
  <si>
    <t>MAY 19</t>
  </si>
  <si>
    <t>10.1038/srep10266</t>
  </si>
  <si>
    <t>WOS:000355296800001</t>
  </si>
  <si>
    <t>Zhang, W; Jiang, LM; Diefenbach, RJ; Campbell, DH; Walsh, BJ; Packer, NH; Wang, YL</t>
  </si>
  <si>
    <t>Zhang, Wei; Jiang, Lianmei; Diefenbach, Russell J.; Campbell, Douglas H.; Walsh, Bradley J.; Packer, Nicolle H.; Wang, Yuling</t>
  </si>
  <si>
    <t>Enabling Sensitive Phenotypic Profiling of Cancer-Derived Small Extracellular Vesicles Using Surface-Enhanced Raman Spectroscopy Nanotags</t>
  </si>
  <si>
    <t>extracellular vesicles; SERS nanotags; immunoassay; multiplex detection; phenotype</t>
  </si>
  <si>
    <t>MEMBRANE-VESICLES; BREAST-CANCER; EXOSOMES; DIAGNOSIS; PROTEIN; EPCAM; NANOPARTICLES; GLYPICAN-1; BIOMARKERS; CELLS</t>
  </si>
  <si>
    <t>Circulating cancer-derived small extracellular vesicles (EVs) are nanoscale membranous vesicles shed from cancer cells that are released into surrounding body fluids. Small EVs contain biomolecules associated with cancer such as DNA and proteins for cell-to-cell communication. Therefore, small EVs have been regarded as important cancer biomarkers for liquid biopsy-based cancer diagnosis and drug treatment monitoring. However, because of the high heterogeneity and low level of small EVs in body fluids, there is a high demand for sensitive detection and characterization of such vesicles at a molecular level. In this study, we have developed a sensitive and effective approach to simultaneously profile multiple protein biomarkers expressed on cancer-derived small EVs using surface-enhanced Raman spectroscopy (SERS) nanotags in a single test, without complex isolation steps. Rapid and multiplexed phenotypic profiling of small EVs is achieved by mixing specific detection antibody-coated SERS nanotags, filtered conditioned EV-suspended medium (conditioned EVs), and capture antibody (CD63)-conjugated magnetic beads to form a sandwich immunoassay. As a proof-of-concept demonstration, we applied this approach to characterize pancreatic cancer-derived EVs by simultaneously detecting three specific EV surface receptors including Glypican-1, epithelial cell adhesion molecules (EpCAMs), and CD44 variant isoform 6 (CD44V6). The sensitivity of this method was measured down to 2.3 x 10(6) particles/mL, which is more sensitive and shows higher multiplexing capability than most other reported EV profiling techniques, such as western blot, enzyme-linked immunosorbent assay, and flow cytometry. Furthermore, phenotypic profiling of small EVs from colorectal cancer and bladder cancer cell lines (SW480 and C3) was conducted and compared to those derived from pancreatic cancer (Panc-1), highlighting the significant difference in EV phenotypes for various cancer cell types suspended in both phosphate-buffered saline and plasma. Thus, we believe that this technology enables a comprehensive evaluation of small secreted EV heterogeneity with high sensitivity, offering strong potential for accurate noninvasive cancer diagnosis and monitoring of drug treatment. In addition, this assay provides point-of-care use because of the easy sample preparation and portable nature of the Raman spectrometer.</t>
  </si>
  <si>
    <t>[Zhang, Wei; Jiang, Lianmei; Packer, Nicolle H.; Wang, Yuling] Macquarie Univ, ARC Excellence Ctr Nanoscale BioPhoton CNBP, Dept Mol Sci, Sydney, NSW 2109, Australia; [Diefenbach, Russell J.] Macquarie Univ, Dept Biomed Sci, Sydney, NSW 2109, Australia; [Campbell, Douglas H.; Walsh, Bradley J.] Minomic Int Ltd, Macquarie Pk, NSW 2113, Australia</t>
  </si>
  <si>
    <t>Macquarie University; Macquarie University</t>
  </si>
  <si>
    <t>Wang, YL (corresponding author), Macquarie Univ, ARC Excellence Ctr Nanoscale BioPhoton CNBP, Dept Mol Sci, Sydney, NSW 2109, Australia.</t>
  </si>
  <si>
    <t>yuling.wang@mq.edu.au</t>
  </si>
  <si>
    <t>; Wang, Yuling/D-4222-2012; Diefenbach, Russell/E-9602-2015</t>
  </si>
  <si>
    <t>Walsh, Brad/0000-0003-3571-4399; Wang, Yuling/0000-0003-3627-7397; Zhang, Wei/0000-0001-7005-5726; Packer, Nicolle/0000-0002-7532-4021; Diefenbach, Russell/0000-0002-8433-4336</t>
  </si>
  <si>
    <t>MAR 27</t>
  </si>
  <si>
    <t>10.1021/acssensors.9b02377</t>
  </si>
  <si>
    <t>WOS:000526377600019</t>
  </si>
  <si>
    <t>Sammarco, A; Finesso, G; Cavicchioli, L; Ferro, S; Caicci, F; Zanetti, R; Sacchetto, R; Zappulli, V</t>
  </si>
  <si>
    <t>Sammarco, A.; Finesso, G.; Cavicchioli, L.; Ferro, S.; Caicci, F.; Zanetti, R.; Sacchetto, R.; Zappulli, V.</t>
  </si>
  <si>
    <t>Preliminary investigation of extracellular vesicles in mammary cancer of dogs and cats: Identification and characterization</t>
  </si>
  <si>
    <t>VETERINARY AND COMPARATIVE ONCOLOGY</t>
  </si>
  <si>
    <t>Alix; CD63; extracellular vesicles; mammary tumours; nanoparticle tracking analysis; TSG101</t>
  </si>
  <si>
    <t>NANOPARTICLE TRACKING ANALYSIS; MEMBRANE-VESICLES; INTERCELLULAR TRANSFER; LARGE ONCOSOMES; TUMOR-GROWTH; EXOSOMES; MICROVESICLES; PLASMA; CELLS; SIZE</t>
  </si>
  <si>
    <t>Extracellular vesicles (EVs) are membrane-bound vesicles produced by cells, known to play a key role in cell-to-cell communication. They exert pleiotropic biological functions via the horizontal transfer of bioactive molecules (DNA, RNAs, proteins, and lipids) within the tumour microenvironment and throughout the body. In human cancer, EVs are known to interfere with pathways that lead to tumour progression and are used as novel cancer biomarkers. In veterinary medicine, very little is known on cancer-derived EVs. In this study, we preliminarily characterized EVs in mammary gland cancer of dogs and cats. EVs were isolated by ultracentrifugation from canine (CYPp), feline (FMCp) and human (MCF7) mammary tumour cell lines. EVs were visualized by transmission electron microscopy (TEM), counted using nanoparticle tracking analysis (NTA) and characterized by immunogold (CD63 and Alix) and western blot (Alix and TSG101). Additionally, EV production by donor cells (palmtdTomato(+)) and uptake by recipient cells (GFP(+)) were assessed. EVs were successfully isolated from all 3 cell lines by ultracentrifugation. Membrane-bound structures (50-400 nm) were identified by TEM and were positive for both CD63 and Alix at immunogold. Western blot showed positivity of EVs to Alix and TSG101. NTA analysis detected EVs from cell culture media ranging from 1.67 to 2.56 x 10(2) as number of EVs/cell and from 80 to 600 nm in size. Confocal microscopy identified the presence of palmtdTomato(+) EVs into the cytoplasm of GFP(+) cells. This preliminary study identified and characterized canine and feline mammary tumour cell-derived EVs, opening in veterinary medicine a new interesting unexplored field with several applications and limitless potential.</t>
  </si>
  <si>
    <t>[Sammarco, A.; Finesso, G.; Cavicchioli, L.; Ferro, S.; Zanetti, R.; Sacchetto, R.; Zappulli, V.] Univ Padua, Dept Comparat Biomed &amp; Food Sci, Padua, Italy; [Caicci, F.] Univ Padua, Dept Biol, Padua, Italy</t>
  </si>
  <si>
    <t>University of Padua; University of Padua</t>
  </si>
  <si>
    <t>Sammarco, A (corresponding author), Univ Padua, Dept Comparat Biomed &amp; Food Sci, Padua, Italy.</t>
  </si>
  <si>
    <t>alessandro.sammarco6@gmail.com</t>
  </si>
  <si>
    <t>Ferro, Silvia/AAA-7772-2021</t>
  </si>
  <si>
    <t>Sammarco, Alessandro/0000-0003-1977-3292; Zanetti, Rossella/0000-0002-4673-6668</t>
  </si>
  <si>
    <t>1476-5810</t>
  </si>
  <si>
    <t>1476-5829</t>
  </si>
  <si>
    <t>10.1111/vco.12405</t>
  </si>
  <si>
    <t>WOS:000450018900009</t>
  </si>
  <si>
    <t>Miljkovic-Licina, M; Arraud, N; Zahra, AD; Ropraz, P; Matthes, T</t>
  </si>
  <si>
    <t>Miljkovic-Licina, Marijana; Arraud, Nicolas; Zahra, Aicha Dorra; Ropraz, Patricia; Matthes, Thomas</t>
  </si>
  <si>
    <t>Quantification and Phenotypic Characterization of Extracellular Vesicles from Patients with Acute Myeloid and B-Cell Lymphoblastic Leukemia</t>
  </si>
  <si>
    <t>extracellular vesicles; flow cytometry; acute leukemia; AML; B-ALL</t>
  </si>
  <si>
    <t>BONE-MARROW; HEMATOPOIETIC PROGENITORS; EXPRESSION; MICROVESICLES; ANTIGENS; SSEA-4; BLOOD; LINES; CD34</t>
  </si>
  <si>
    <t>Simple Summary Extracellular vesicles (EVs) are lipid bound vesicles secreted by cells into the extracellular space. They play an important role in cell-to-cell communication by transporting diverse messenger molecules, including DNA, RNA, lipids, and proteins. Cancer cells in patients with acute leukemia also produce EVs that can influence cells from the surrounding bone marrow microenvironment and play a role in disease progression. In our study, we applied several methods such as cryo-electron microscopy, fluorescence triggering flow cytometry, and nanoparticle tracking analysis to quantify and phenotypically characterize EVs from a series of acute leukemia patient blood samples. Our results show how these methods can be used to study the functional role of EVs in leukemia development and to evaluate their potential as targets for therapy and as biomarkers of the disease. Extracellular vesicles (EVs) act in cell-to-cell communication, delivering cargo from donor to recipient cells and modulating their physiological condition. EVs secreted by leukemic blasts in patients with leukemia have been shown to influence the fate of recipient cells in the bone marrow microenvironment. Methods to quantify and to characterize them phenotypically are therefore urgently needed to study their functional role in leukemia development and to evaluate their potential as targets for therapy. We have used cryo-electron microscopy to study morphology and size of leukemic EVs, and nanoparticle tracking analysis and fluorescence triggering flow cytometry to quantify EVs in platelet-free plasma from a small cohort of leukemia patients and healthy blood donors. Additional studies with a capture bead-based assay allowed us to establish phenotypic signatures of leukemic EVs from 17 AML and 3 B-ALL patients by evaluating the expression of 37 surface antigens. In addition to tetraspanins and lineage-specific markers we found several adhesion molecules (CD29, and CD146) to be highly expressed by EVs from B-ALL and several leukemic stem cell antigens (CD44, CD105, CD133, and SSEA-4) to be expressed by EVs from AML patients. Further improvements in analytical methods to study EVs are needed before potentially using them as biomarkers for leukemia prognosis and follow-up.</t>
  </si>
  <si>
    <t>[Miljkovic-Licina, Marijana; Zahra, Aicha Dorra; Ropraz, Patricia; Matthes, Thomas] Univ Geneva, Sch Med, Lab R&amp;D Hematol, Ctr Translat Res Oncohematol, CH-1206 Geneva, Switzerland; [Miljkovic-Licina, Marijana; Matthes, Thomas] Geneva Univ Hosp, Dept Oncol, Hematol Serv, CH-1205 Geneva, Switzerland; [Arraud, Nicolas; Matthes, Thomas] Geneva Univ Hosp, Dept Diagnost, Clin Pathol Serv, CH-1205 Geneva, Switzerland</t>
  </si>
  <si>
    <t>University of Geneva; University of Geneva; University of Geneva</t>
  </si>
  <si>
    <t>Matthes, T (corresponding author), Univ Geneva, Sch Med, Lab R&amp;D Hematol, Ctr Translat Res Oncohematol, CH-1206 Geneva, Switzerland.;Matthes, T (corresponding author), Geneva Univ Hosp, Dept Oncol, Hematol Serv, CH-1205 Geneva, Switzerland.;Matthes, T (corresponding author), Geneva Univ Hosp, Dept Diagnost, Clin Pathol Serv, CH-1205 Geneva, Switzerland.</t>
  </si>
  <si>
    <t>marijana.licina@unige.ch; arraud@hp-hl.de; aicha.zahra@ulb.be; patricia.ropraz@unige.ch; Thomas.Matthes@hcuge.ch</t>
  </si>
  <si>
    <t>Miljkovic-Licina, Marijana/0000-0001-9023-2208</t>
  </si>
  <si>
    <t>10.3390/cancers14010056</t>
  </si>
  <si>
    <t>WOS:000741214200001</t>
  </si>
  <si>
    <t>Phinney, DG; Di Giuseppe, M; Njah, J; Sala, E; Shiva, S; St Croix, CM; Stolz, DB; Watkins, SC; Di, YP; Leikauf, GD; Kolls, J; Riches, DWH; Deiuliis, G; Kaminski, N; Boregowda, SV; McKenna, DH; Ortiz, LA</t>
  </si>
  <si>
    <t>Phinney, Donald G.; Di Giuseppe, Michelangelo; Njah, Joel; Sala, Ernest; Shiva, Sruti; St Croix, Claudette M.; Stolz, Donna B.; Watkins, Simon C.; Di, Y. Peter; Leikauf, George D.; Kolls, Jay; Riches, David W. H.; Deiuliis, Giuseppe; Kaminski, Naftali; Boregowda, Siddaraju V.; McKenna, David H.; Ortiz, Luis A.</t>
  </si>
  <si>
    <t>Mesenchymal stem cells use extracellular vesicles to outsource mitophagy and shuttle microRNAs</t>
  </si>
  <si>
    <t>NATURE COMMUNICATIONS</t>
  </si>
  <si>
    <t>BONE-MARROW; HEMATOPOIETIC STEM; STROMAL CELLS; MITOCHONDRIAL-DNA; PROGENITOR CELLS; ACUTE LUNG; MACROPHAGES; MICROVESICLES; AUTOPHAGY; EXOSOMES</t>
  </si>
  <si>
    <t>Mesenchymal stem cells (MSCs) and macrophages are fundamental components of the stem cell niche and function coordinately to regulate haematopoietic stem cell self-renewal and mobilization. Recent studies indicate that mitophagy and healthy mitochondrial function are critical to the survival of stem cells, but how these processes are regulated in MSCs is unknown. Here we show that MSCs manage intracellular oxidative stress by targeting depolarized mitochondria to the plasma membrane via arrestin domain-containing protein 1-mediated microvesicles. The vesicles are then engulfed and re-utilized via a process involving fusion by macrophages, resulting in enhanced bioenergetics. Furthermore, we show that MSCs simultaneously shed micro RNA-containing exosomes that inhibit macrophage activation by suppressing Toll-like receptor signalling, thereby de-sensitizing macrophages to the ingested mitochondria. Collectively, these studies mechanistically link mitophagy and MSC survival with macrophage function, thereby providing a physiologically relevant context for the innate immunomodulatory activity of MSCs.</t>
  </si>
  <si>
    <t>[Phinney, Donald G.; Boregowda, Siddaraju V.] Scripps Res Inst, Dept Mol Therapeut, Jupiter, FL 33458 USA; [Di Giuseppe, Michelangelo; Njah, Joel; St Croix, Claudette M.; Di, Y. Peter; Leikauf, George D.; Ortiz, Luis A.] Univ Pittsburgh, Dept Environm &amp; Occupat Hlth, Pittsburgh, PA 15219 USA; [Sala, Ernest] Hosp Son Espases, Palma De Mallorca 07010, Spain; [Shiva, Sruti; St Croix, Claudette M.] Univ Pittsburgh, Dept Pharmacol, Pittsburgh, PA 15219 USA; [St Croix, Claudette M.; Stolz, Donna B.; Watkins, Simon C.] Univ Pittsburgh, Dept Cell Biol, Pittsburgh, PA 15219 USA; [Kolls, Jay] Univ Pittsburgh, Mellon Fdn, Pediat Res Inst, Pittsburgh, PA 15219 USA; [Riches, David W. H.] Natl Jewish Hlth, Dept Pediat, Denver, CO 80206 USA; [Deiuliis, Giuseppe; Kaminski, Naftali] Yale Univ, Dept Med, New Haven, CT 06510 USA; [McKenna, David H.] Univ Minnesota, Dept Lab Med &amp; Pathol, St Paul, MN 55108 USA</t>
  </si>
  <si>
    <t>Scripps Research Institute; Pennsylvania Commonwealth System of Higher Education (PCSHE); University of Pittsburgh; Hospital Universitari Son Espases; Pennsylvania Commonwealth System of Higher Education (PCSHE); University of Pittsburgh; Pennsylvania Commonwealth System of Higher Education (PCSHE); University of Pittsburgh; Pennsylvania Commonwealth System of Higher Education (PCSHE); University of Pittsburgh; National Jewish Health; Yale University; University of Minnesota System; University of Minnesota Twin Cities</t>
  </si>
  <si>
    <t>Ortiz, LA (corresponding author), Univ Pittsburgh, Dept Environm &amp; Occupat Hlth, Pittsburgh, PA 15219 USA.</t>
  </si>
  <si>
    <t>LAO1@Pitt.edu</t>
  </si>
  <si>
    <t>Di, Yuanpu Peter/H-4191-2016; Kolls, Jay/AAH-1829-2019; Watkins, Simon/ABG-2590-2021; St Croix, Claudette/AAA-3338-2022; Phinney, Donald G/D-2155-2014; ortiz, luis a/H-9851-2013</t>
  </si>
  <si>
    <t>Di, Yuanpu Peter/0000-0003-2028-2087; Kolls, Jay/0000-0001-5151-6304; Watkins, Simon/0000-0003-4092-1552; ortiz, luis a/0000-0003-4510-7066; Phinney, Donald/0000-0002-8688-2619; Njah, Joel/0000-0002-1333-0493; Leikauf, George/0000-0002-4514-7060; Sala-Llinas, Ernest/0000-0002-6499-1638; Kaminski, Naftali/0000-0001-5917-4601; DeIuliis, Giuseppe/0000-0003-0841-8156</t>
  </si>
  <si>
    <t>2041-1723</t>
  </si>
  <si>
    <t>10.1038/ncomms9472</t>
  </si>
  <si>
    <t>WOS:000364926700001</t>
  </si>
  <si>
    <t>Jeppesen, DK; Fenix, AM; Franklin, JL; Higginbotham, JN; Zhang, Q; Zimmerman, LJ; Liebler, DC; Ping, J; Liu, Q; Evans, R; Fissell, WH; Patton, JG; Rome, LH; Burnette, DT; Coffey, RJ</t>
  </si>
  <si>
    <t>Jeppesen, Dennis K.; Fenix, Aidan M.; Franklin, Jeffrey L.; Higginbotham, James N.; Zhang, Qin; Zimmerman, Lisa J.; Liebler, Daniel C.; Ping, Jie; Liu, Qi; Evans, Rachel; Fissell, William H.; Patton, James G.; Rome, Leonard H.; Burnette, Dylan T.; Coffey, Robert J.</t>
  </si>
  <si>
    <t>Reassessment of Exosome Composition</t>
  </si>
  <si>
    <t>CELL</t>
  </si>
  <si>
    <t>EXTRACELLULAR VESICLES; MULTIVESICULAR BODIES; AUTOPHAGIC VACUOLES; MEDIATED TRANSFER; APOPTOTIC BODIES; CANCER EXOSOMES; MICROVESICLES; INHIBITION; PROTEOMICS; MICRORNAS</t>
  </si>
  <si>
    <t>The heterogeneity of small extracellular vesicles and presence of non-vesicular extracellular matter have led to debate about contents and functional properties of exosomes. Here, we employ high-resolution density gradient fractionation and direct immunoaffinity capture to precisely characterize the RNA, DNA, and protein constituents of exosomes and other non-vesicle material. Extracellular RNA, RNA-binding proteins, and other cellular proteins are differentially expressed in exosomes and non-vesicle compartments. Argonaute 1-4, glycolytic enzymes, and cytoskeletal proteins were not detected in exosomes. We identify annexin Al as a specific marker for microvesicles that are shed directly from the plasma membrane. We further show that small extracellular vesicles are not vehicles of active DNA release. instead, we propose a new model for active secretion of extracellular DNA through an autophagy- and multivesicular-endosome-dependent but exosome-independent mechanism. This study demonstrates the need for a reassessment of exosome composition and offers a framework for a clearer understanding of extracellular vesicle heterogeneity.</t>
  </si>
  <si>
    <t>[Jeppesen, Dennis K.; Franklin, Jeffrey L.; Higginbotham, James N.; Zhang, Qin; Coffey, Robert J.] Vanderbilt Univ, Med Ctr, Dept Med, Nashville, TN 37232 USA; [Fenix, Aidan M.; Franklin, Jeffrey L.; Burnette, Dylan T.; Coffey, Robert J.] Vanderbilt Univ, Sch Med, Dept Cell &amp; Dev Biol, Nashville, TN 37232 USA; [Zimmerman, Lisa J.; Liebler, Daniel C.] Vanderbilt Univ, Med Ctr, Jim Ayers Inst Precanc Detect &amp; Diag, Nashville, TN 37232 USA; [Ping, Jie; Liu, Qi] Vanderbilt Univ, Med Ctr, Dept Biostat, Nashville, TN 37232 USA; [Evans, Rachel; Fissell, William H.] Vanderbilt Univ, Med Ctr, Div Nephrol &amp; Hypertens, Nashville, TN 37232 USA; [Patton, James G.] Vanderbilt Univ, Dept Biol Sci, Nashville, TN 37235 USA; [Rome, Leonard H.] Univ Calif Los Angeles, David Geffen Sch Med, Dept Biol Chem, Los Angeles, CA 90095 USA; [Rome, Leonard H.] Univ Calif Los Angeles, Calif NanoSyst Inst, Los Angeles, CA 90095 USA; [Franklin, Jeffrey L.; Coffey, Robert J.] Vet Affairs Med Ctr, Nashville, TN 37232 USA</t>
  </si>
  <si>
    <t>Vanderbilt University; Vanderbilt University; Vanderbilt University; Vanderbilt University; Vanderbilt University; Vanderbilt University; University of California System; University of California Los Angeles; University of California Los Angeles Medical Center; David Geffen School of Medicine at UCLA; University of California System; University of California Los Angeles; US Department of Veterans Affairs; Veterans Health Administration (VHA); VA Tennessee Valley Healthcare System</t>
  </si>
  <si>
    <t>Coffey, RJ (corresponding author), Vanderbilt Univ, Med Ctr, Dept Med, Nashville, TN 37232 USA.;Coffey, RJ (corresponding author), Vanderbilt Univ, Sch Med, Dept Cell &amp; Dev Biol, Nashville, TN 37232 USA.;Coffey, RJ (corresponding author), Vet Affairs Med Ctr, Nashville, TN 37232 USA.</t>
  </si>
  <si>
    <t>robert.coffey@vumc.org</t>
  </si>
  <si>
    <t>Jeppesen, Dennis K./R-4003-2017</t>
  </si>
  <si>
    <t>Jeppesen, Dennis K./0000-0002-7480-8083; Fenix, Aidan/0000-0002-1564-7347; Fissell, William/0000-0002-3960-3998; Ping, Jie/0000-0001-9907-5819</t>
  </si>
  <si>
    <t>0092-8674</t>
  </si>
  <si>
    <t>1097-4172</t>
  </si>
  <si>
    <t>10.1016/j.cell.2019.02.029</t>
  </si>
  <si>
    <t>WOS:000463346200020</t>
  </si>
  <si>
    <t>Jena, SR; Nayak, J; Kumar, S; Kar, S; Dixit, A; Samanta, L</t>
  </si>
  <si>
    <t>Jena, Soumya R.; Nayak, Jasmine; Kumar, Sugandh; Kar, Sujata; Dixit, Anshuman; Samanta, Luna</t>
  </si>
  <si>
    <t>Paternal contributors in recurrent pregnancy loss: Cues from comparative proteome profiling of seminal extracellular vesicles</t>
  </si>
  <si>
    <t>MOLECULAR REPRODUCTION AND DEVELOPMENT</t>
  </si>
  <si>
    <t>comparative proteomics; hub genes; paternal factors; recurrent pregnancy loss; seminal extracellular vesicles</t>
  </si>
  <si>
    <t>CHROMATIN-STRUCTURE ASSAY; SPERM FUNCTION; HUMAN SEMEN; EXOSOMES; PLASMA; DNA; KINASE; PROSTASOMES; MATURATION; PHOSPHORYLATION</t>
  </si>
  <si>
    <t>Recent evidence entail paternal factors as plausible contributors in spontaneous recurrent pregnancy loss (RPL). Seminal extracellular vesicles secreted from cells of male reproductive tract carry regulatory proteins and RNAs. They are proposed to regulate sperm maturation and function while their fusion to endometrial stromal cells helps in decidualization. Nevertheless, the mechanism(s) involved in these processes are poorly understood. This study aims at elucidating the molecular basis of paternal contribution by comparative proteomics (label-free LC-MS/MS) of isolated seminal extracellular vesicles from fertile men and partners of patients with RPL (n = 21 per group). Bioinformatics analysis revealed the identified differentially expressed proteins to be involved in DNA replication, recombination and repair, gene expression, cellular assembly and organization, cell death, and survival. Major disease pathways affected were identified as developmental, hereditary, and immunological disorders. Of the three identified hub genes regulating the above disease pathways, two (HNRNPC and HNRNPU) are overexpressed while RUVBL1 is underexpressed along with over expression of HIST1H1C, DDX1, surmising defective chromatin packaging, and histone removal in spermatozoa resulting in improper expression in paternal genes thereby leading to abnormal embryo development. Besides, alteration in GSTP1 expression points oxidative predominance in RPL group. Differential expression of C3, C4a/C4b, CFB, and GDF 15 may be involved in altered maternal immune response to paternal antigens resulting in impaired decidualization.</t>
  </si>
  <si>
    <t>[Jena, Soumya R.; Nayak, Jasmine; Samanta, Luna] Ravenshaw Univ, Dept Zool, Redox Biol Lab, Sch Life Sci, Cuttack, Odisha, India; [Jena, Soumya R.; Nayak, Jasmine] Ravenshaw Univ, Ctr Excellence Environm &amp; Publ Hlth, Cuttack, Odisha, India; [Kumar, Sugandh; Dixit, Anshuman] Inst Life Sci, Computat Biol &amp; Bioinformat Lab, Bhubaneswar, Odisha, India; [Kar, Sujata] Kar Clin &amp; Hosp Pvt Ltd, Dept Obstet &amp; Gynaecol, Bhubaneswar, India</t>
  </si>
  <si>
    <t>Ravenshaw University; Ravenshaw University; Department of Biotechnology (DBT) India; Institute of Life Sciences India (ILS)</t>
  </si>
  <si>
    <t>Samanta, L (corresponding author), Ravenshaw Univ, Dept Zool, Redox Biol Lab, Sch Life Sci, Cuttack, Odisha, India.</t>
  </si>
  <si>
    <t>lsamanta@ravenshawuniversity.ac.in</t>
  </si>
  <si>
    <t>Samanta, Luna/H-4206-2019; Kumar, Sugandh/ABA-1910-2021; Jena, Soumya Ranjan/AGF-7035-2022; Kumar, Sugandh/GLQ-6445-2022</t>
  </si>
  <si>
    <t>Samanta, Luna/0000-0002-2969-0071; Jena, Soumya Ranjan/0000-0001-8931-6818; Kumar, Sugandh/0000-0001-7000-4718; Nayak, Jasmine/0000-0002-7237-1316; Kar, Sujata/0000-0003-2795-6558</t>
  </si>
  <si>
    <t>1040-452X</t>
  </si>
  <si>
    <t>1098-2795</t>
  </si>
  <si>
    <t>10.1002/mrd.23445</t>
  </si>
  <si>
    <t>Biochemistry &amp; Molecular Biology; Cell Biology; Developmental Biology; Reproductive Biology</t>
  </si>
  <si>
    <t>WOS:000600354900001</t>
  </si>
  <si>
    <t>Orozco-Romero, MD; Borja-Urby, R; Ponce-Castaneda, MV; Duran-Figueroa, NV</t>
  </si>
  <si>
    <t>de Jesus Orozco-Romero, Maria; Borja-Urby, Raul; Veronica Ponce-Castaneda, Martha; Valentin Duran-Figueroa, Noe</t>
  </si>
  <si>
    <t>Isolation and cellular characterization of exosomes from plasma for their use as diagnostic biomarkers</t>
  </si>
  <si>
    <t>ACTA BIOQUIMICA CLINICA LATINOAMERICANA</t>
  </si>
  <si>
    <t>biomarker; exosome; retinoblastoma</t>
  </si>
  <si>
    <t>CANCER; MICRORNAS; RNA</t>
  </si>
  <si>
    <t>Exosomes are small extracellular vesicles essential in intercellular communication; they act as vehicles of broad scope. They are travelling in body fluids and delivering molecular messages to cells in the organism. Messages released by exosomes like DNA, RNA and proteins are associated with different pathological conditions including cancer. Therefore, the efficient isolation and cellular characterization of exosomes from plasma is essential to use them as biomarkers in many diseases. Here, exosomes were purified from patients diagnosed with pediatric cancer and healthy individuals as control. The exosomes recovered were characterized using cryogenic transmission electron microscopy. Moreover, the presence of CD63 and CD81 transmembrane proteins was confirmed using Western blot. Besides, miRNAs presence was identified from exosomes. This work describes a complete technique to isolate and characterize exosomes from human plasma, recognizing their potential as biomarkers.</t>
  </si>
  <si>
    <t>[de Jesus Orozco-Romero, Maria; Valentin Duran-Figueroa, Noe] Inst Politecn Nacl, Unidad Profes Interdisciplinaria Biotecnolo, Mexico City, DF, Mexico; [Borja-Urby, Raul] Inst Politecn Nacl, Ctr Nanociencias &amp; Micro &amp; Nanotecnol, Mexico City, DF, Mexico; [Valentin Duran-Figueroa, Noe] Inst Mexicano Seguro Social, Ctr Med Nacl Siglo XXI, Mexico City, DF, Mexico</t>
  </si>
  <si>
    <t>Instituto Politecnico Nacional - Mexico; Instituto Politecnico Nacional - Mexico; Instituto Mexicano del Seguro Social</t>
  </si>
  <si>
    <t>Duran-Figueroa, NV (corresponding author), Inst Politecn Nacl, Unidad Profes Interdisciplinaria Biotecnolo, Mexico City, DF, Mexico.</t>
  </si>
  <si>
    <t>nduranf@ipn.mx</t>
  </si>
  <si>
    <t>0325-2957</t>
  </si>
  <si>
    <t>1851-6114</t>
  </si>
  <si>
    <t>WOS:000401465000028</t>
  </si>
  <si>
    <t>Zhao, L; Sun, RJ; He, P; Zhang, XR</t>
  </si>
  <si>
    <t>Zhao, Li; Sun, Ruijiao; He, Peng; Zhang, Xiaoru</t>
  </si>
  <si>
    <t>Ultrasensitive Detection of Exosomes by Target-Triggered Three-Dimensional DNA Walking Machine and Exonuclease III-Assisted Electrochemical Ratiometric Biosensing</t>
  </si>
  <si>
    <t>TUMOR-DERIVED EXOSOMES; RECYCLING AMPLIFICATION; NANOMACHINE; SWITCH</t>
  </si>
  <si>
    <t>Exosomes are membrane-enclosed phospholipid extracellular vesicles. In spite of their great promise as noninvasive biomarkers for cancer diagnosis, sensitive detection of exosomes is still challenging. Herein, the detection of exosomes was changed to the detection of DNA after recognition of exosomes with its aptamers. CD63 aptamer and EpCAM aptamer were used for the detection of MCF-7 cell-secreted exosome. The recognition process was amplified through the movements of a three-dimensional DNA walker. And then, Exonuclease III- assisted electrochemical ratiometric sensor was applied for further signal amplification. Under optimal conditions, the detection limit of 1.3 x 10(4) particles/mL was obtained with excellent selectivity. Furthermore, clinical application test for the detection of exosomes in human serum was also verified.</t>
  </si>
  <si>
    <t>[Zhao, Li; Sun, Ruijiao; He, Peng; Zhang, Xiaoru] Qingdao Univ Sci &amp; Technol, Minist Educ, Shandong Key Lab Biochem Anal, Key Lab Opt Sensing &amp; Analyt Chem Life Sci, Qingdao 266042, Shandong, Peoples R China; [Zhao, Li; Sun, Ruijiao; He, Peng; Zhang, Xiaoru] Qingdao Univ Sci &amp; Technol, Coll Chem &amp; Mol Engn, Qingdao 266042, Shandong, Peoples R China</t>
  </si>
  <si>
    <t>Qingdao University of Science &amp; Technology; Qingdao University of Science &amp; Technology</t>
  </si>
  <si>
    <t>Zhang, XR (corresponding author), Qingdao Univ Sci &amp; Technol, Minist Educ, Shandong Key Lab Biochem Anal, Key Lab Opt Sensing &amp; Analyt Chem Life Sci, Qingdao 266042, Shandong, Peoples R China.</t>
  </si>
  <si>
    <t>zhangxr7407@126.com</t>
  </si>
  <si>
    <t>NOV 19</t>
  </si>
  <si>
    <t>10.1021/acs.analchem.9b04282</t>
  </si>
  <si>
    <t>WOS:000498280100082</t>
  </si>
  <si>
    <t>Qin, WY; Zhang, K; Sauter, ER</t>
  </si>
  <si>
    <t>Qin, Wenyi; Zhang, Kurt; Sauter, Edward R.</t>
  </si>
  <si>
    <t>Exosomal miRNAs in nipple aspirate fluid and breast cancer</t>
  </si>
  <si>
    <t>TRANSLATIONAL CANCER RESEARCH</t>
  </si>
  <si>
    <t>Breast cancer; microRNA; exosomes</t>
  </si>
  <si>
    <t>MESENCHYMAL TRANSITION; CLINICAL-SIGNIFICANCE; DNA METHYLATION; MICRORNAS; CELLS; SERUM; EXPRESSION; RISK; IDENTIFICATION; TUMORIGENESIS</t>
  </si>
  <si>
    <t>Background: Exosomal vesicles transport genetic information between cells and thereby influence the cells they interact with. Exosomes have been detected in multiple body fluids, including blood, milk, urine, pleural fluid, cerebrospinal fluid and the aqueous humor of the eye. We performed a proof of principle study to determine: (I) if exosomes are detectable in breast nipple aspirate fluid (NAF); (II) if exosomes are present, do they contain micro (mi) RNAs; (III) if present and if they contain miRNAs, the ability of the miRNAs to predict: (i) breast cancer; and (ii) response to treatment with the anti-inflammatory/anti-cancer agents vitamin (vit) D and celecoxib. Methods: NAF was collected from 12 healthy women and 20 women with newly diagnosed breast cancer. NAF and matched blood were collected from 5 women before and after daily treatment for one menstrual cycle/one month with low (400 IU) or high dose (2,000 IU) vitD, or high dose vitD plus 400 mg celecoxib. Ten miRs (16, 21, 100, 129, 145, 155, 181, 199, 205, and 212) were measured in NAF and serum samples. Results: We were routinely able to detect exosomes in NAF and serum samples, and in the exosomes to measure multiple miRNAs. Although there was no significant difference in expression based on the presence or absence of breast cancer, miR16 and -155 expressions were higher (P=0.030 for each) in women with node positive compared to those with node negative breast cancer. Delta Ct expression was at higher (defined at Delta Ct difference &gt;= 1) in serum than matched NAF in healthy women. Conclusions: Exosomes are detectable in NAF. The exosomes contain intracellular information that may be useful for evaluation of the breast.</t>
  </si>
  <si>
    <t>[Qin, Wenyi] Univ Texas Hlth Sci Ctr Tyler, Dept Mol Biol, Tyler, TX USA; [Zhang, Kurt] Univ North Dakota, Dept Pathol, Sch Med, Grand Forks, ND USA; [Sauter, Edward R.] Hartford Hosp, Dept Surg, Hartford, CT 06115 USA; [Sauter, Edward R.] Univ Connecticut, Sch Med, Hartford, CT 06112 USA</t>
  </si>
  <si>
    <t>University of Texas System; University of Texas-Health Sciences Center at Tyler (UTHSCT); University of North Dakota Grand Forks; Hartford Hospital; University of Connecticut</t>
  </si>
  <si>
    <t>Sauter, ER (corresponding author), 85 Seymour St, Hartford, CT 06102 USA.</t>
  </si>
  <si>
    <t>edward.sauter@hhchealth.org</t>
  </si>
  <si>
    <t>2218-676X</t>
  </si>
  <si>
    <t>2219-6803</t>
  </si>
  <si>
    <t>S1304</t>
  </si>
  <si>
    <t>S1310</t>
  </si>
  <si>
    <t>10.21037/tcr.2017.08.14</t>
  </si>
  <si>
    <t>WOS:000413979800002</t>
  </si>
  <si>
    <t>Ramshani, Z; Zhang, CG; Richards, K; Chen, LL; Xu, GY; Stiles, BL; Hill, R; Senapati, S; Go, DB; Chang, HC</t>
  </si>
  <si>
    <t>Ramshani, Zeinab; Zhang, Chenguang; Richards, Katherine; Chen, Lulu; Xu, Geyang; Stiles, Bangyan L.; Hill, Reginald; Senapati, Satyajyoti; Go, David B.; Chang, Hsueh-Chia</t>
  </si>
  <si>
    <t>Extracellular vesicle microRNA quantification from plasma using an integrated microfluidic device</t>
  </si>
  <si>
    <t>COMMUNICATIONS BIOLOGY</t>
  </si>
  <si>
    <t>CIRCULATING MICRORNAS; PANCREATIC-CANCER; EXOSOMES; EXCHANGE; MIR-21; BIOMARKERS</t>
  </si>
  <si>
    <t>Extracellular vesicles (EV) containing microRNAs (miRNAs) have tremendous potential as biomarkers for the early detection of disease. Here, we present a simple and rapid PCR-free integrated microfluidics platform capable of absolute quantification (&lt;10% uncertainty) of both free-floating miRNAs and EV-miRNAs in plasma with 1 pM detection sensitivity. The assay time is only 30 minutes as opposed to 13 h and requires only similar to 20 mu L of sample as oppose to 1 mL for conventional RT-qPCR techniques. The platform integrates a surface acoustic wave (SAW) EV lysing microfluidic chip with a concentration and sensing microfluidic chip incorporating an electrokinetic membrane sensor that is based on non-equilibrium ionic currents. Unlike conventional RT-qPCR methods, this technology does not require EV extraction, RNA purification, reverse transcription, or amplification. This platform can be easily extended for other RNA and DNA targets of interest, thus providing a viable screening tool for early disease diagnosis, prognosis, and monitoring of therapeutic response.</t>
  </si>
  <si>
    <t>[Ramshani, Zeinab; Zhang, Chenguang; Senapati, Satyajyoti; Go, David B.; Chang, Hsueh-Chia] Univ Notre Dame, Dept Chem &amp; Biomol Engn, Notre Dame, IN 46556 USA; [Ramshani, Zeinab; Zhang, Chenguang; Senapati, Satyajyoti; Chang, Hsueh-Chia] Univ Notre Dame, Ctr Microfluid &amp; Med Diagnost, Notre Dame, IN 46556 USA; [Ramshani, Zeinab; Richards, Katherine; Senapati, Satyajyoti; Chang, Hsueh-Chia] Univ Notre Dame, Harper Canc Res Inst, Notre Dame, IN 46556 USA; [Richards, Katherine] Univ Notre Dame, Dept Biol Sci, Notre Dame, IN 46556 USA; [Chen, Lulu; Stiles, Bangyan L.] Univ Southern Calif, Sch Pharm, Pharmacol &amp; Pharmaceut Sci, Los Angeles, CA 90211 USA; [Xu, Geyang] Jinan Univ, Sch Med, Dept Physiol, Guangzhou 510632, Guangdong, Peoples R China; [Hill, Reginald] Univ Southern Calif, Lawrence J Ellison Inst Transformat Med, Beverly Hills, CA 90211 USA; [Hill, Reginald] Univ Southern Calif, Keck Sch Med, Los Angeles, CA 90033 USA; [Go, David B.; Chang, Hsueh-Chia] Univ Notre Dame, Dept Aerosp &amp; Mech Engn, Notre Dame, IN 46556 USA</t>
  </si>
  <si>
    <t>University of Notre Dame; University of Notre Dame; University of Notre Dame; University of Notre Dame; University of Southern California; Jinan University; University of Southern California; University of Southern California; University of Notre Dame</t>
  </si>
  <si>
    <t>Senapati, S; Go, DB; Chang, HC (corresponding author), Univ Notre Dame, Dept Chem &amp; Biomol Engn, Notre Dame, IN 46556 USA.;Senapati, S; Chang, HC (corresponding author), Univ Notre Dame, Ctr Microfluid &amp; Med Diagnost, Notre Dame, IN 46556 USA.;Senapati, S; Chang, HC (corresponding author), Univ Notre Dame, Harper Canc Res Inst, Notre Dame, IN 46556 USA.;Go, DB; Chang, HC (corresponding author), Univ Notre Dame, Dept Aerosp &amp; Mech Engn, Notre Dame, IN 46556 USA.</t>
  </si>
  <si>
    <t>ssenapat@nd.edu; dgo@nd.edu; hchang@nd.edu</t>
  </si>
  <si>
    <t>Go, David/A-7019-2013</t>
  </si>
  <si>
    <t>Go, David/0000-0001-8948-1442; Zhang, Chenguang/0000-0001-5124-875X</t>
  </si>
  <si>
    <t>2399-3642</t>
  </si>
  <si>
    <t>MAY 20</t>
  </si>
  <si>
    <t>10.1038/s42003-019-0435-1</t>
  </si>
  <si>
    <t>Biology; Multidisciplinary Sciences</t>
  </si>
  <si>
    <t>Life Sciences &amp; Biomedicine - Other Topics; Science &amp; Technology - Other Topics</t>
  </si>
  <si>
    <t>WOS:000468870100001</t>
  </si>
  <si>
    <t>Marczak, S; Richards, K; Ramshani, Z; Smith, E; Senapati, S; Hill, R; Go, DB; Chang, HC</t>
  </si>
  <si>
    <t>Marczak, Steven; Richards, Katherine; Ramshani, Zeinab; Smith, Elaine; Senapati, Satyajyoti; Hill, Reginald; Go, David B.; Chang, Hsueh-Chia</t>
  </si>
  <si>
    <t>Simultaneous isolation and preconcentration of exosomes by ion concentration polarization</t>
  </si>
  <si>
    <t>ELECTROPHORESIS</t>
  </si>
  <si>
    <t>Exosomes; Ion concentration polarization; Microfluidics</t>
  </si>
  <si>
    <t>TUMOR-DERIVED EXOSOMES; EXTRACELLULAR VESICLES; BREAST-MILK; MICRORNA SIGNATURES; PORE-SIZE; CANCER; CELLS; BIOMARKERS; BLOOD; DNA</t>
  </si>
  <si>
    <t>Exosomes carry microRNA biomarkers, occur in higher abundance in cancerous patients than in healthy ones, and because they are present in most biofluids, including blood and urine, these can be obtained noninvasively. Standard laboratory techniques to isolate exosomes are expensive, time consuming, provide poor purity, and recover on the order of 25% of the available exosomes. We present a new microfluidic technique to simultaneously isolate exosomes and preconcentrate them by electrophoresis using a high transverse local electric field generated by ion-depleting ion-selective membrane. We use pressure-driven flow to deliver an exosome sample to a microfluidic chip such that the transverse electric field forces them out of the cross flow and into an agarose gel which filters out unwanted cellular debris while the ion-selective membrane concentrates the exosomes through an enrichment effect. We efficiently isolated exosomes from 1x PBS buffer, cell culture media, and blood serum. Using flow rates from 150 to 200L/h and field strengths of 100V/cm, we consistently captured between 60 and 80% of exosomes from buffer, cell culture media, and blood serum as confirmed by both fluorescence spectroscopy and nanoparticle tracking analysis. Our microfluidic chip maintained this recovery rate for more than 20min with a concentration factor of 15 for 10min of isolation.</t>
  </si>
  <si>
    <t>[Marczak, Steven; Ramshani, Zeinab; Smith, Elaine; Senapati, Satyajyoti; Go, David B.; Chang, Hsueh-Chia] Univ Notre Dame, Dept Chem &amp; Biomol Engn, Notre Dame, IN 46556 USA; [Richards, Katherine; Hill, Reginald] Univ Notre Dame, Dept Biol Sci, Notre Dame, IN 46556 USA; [Richards, Katherine; Ramshani, Zeinab; Hill, Reginald] Univ Notre Dame, Harper Canc Res Inst, Notre Dame, IN 46556 USA; [Go, David B.; Chang, Hsueh-Chia] Univ Notre Dame, Dept Aerosp &amp; Mech Engn, Notre Dame, IN 46556 USA</t>
  </si>
  <si>
    <t>University of Notre Dame; University of Notre Dame; University of Notre Dame; University of Notre Dame</t>
  </si>
  <si>
    <t>Chang, HC (corresponding author), Univ Notre Dame, 118B Cushing Hall Engn, Notre Dame, IN 46556 USA.</t>
  </si>
  <si>
    <t>hchang@nd.edu</t>
  </si>
  <si>
    <t>Go, David/A-7019-2013; Chang, Hsueh-Chia/E-8048-2012</t>
  </si>
  <si>
    <t>Go, David/0000-0001-8948-1442; Chang, Hsueh-Chia/0000-0003-2147-9260</t>
  </si>
  <si>
    <t>0173-0835</t>
  </si>
  <si>
    <t>1522-2683</t>
  </si>
  <si>
    <t>10.1002/elps.201700491</t>
  </si>
  <si>
    <t>Biochemical Research Methods; Chemistry, Analytical</t>
  </si>
  <si>
    <t>WOS:000440549300022</t>
  </si>
  <si>
    <t>Aghamir, SMK; Heshmat, R; Ebrahimi, M; Khatami, F</t>
  </si>
  <si>
    <t>Aghamir, Seyed Mohammad Kazem; Heshmat, Ramin; Ebrahimi, Mehdi; Khatami, Fatemeh</t>
  </si>
  <si>
    <t>Liquid Biopsy: The Unique Test for Chasing the Genetics of Solid Tumors</t>
  </si>
  <si>
    <t>EPIGENETICS INSIGHTS</t>
  </si>
  <si>
    <t>Liquid biopsy; cell-free nucleic acids (cfNAs); circulating tumor cells (CTCs); exosomes</t>
  </si>
  <si>
    <t>CELL-FREE DNA; RESISTANT PROSTATE-CANCER; CIRCULATING FREE DNA; MESSENGER-RNA; INTRATUMOR HETEROGENEITY; EXTRACELLULAR VESICLES; PROGNOSTIC VALUE; STRANDED-DNA; LABEL-FREE; FOLLOW-UP</t>
  </si>
  <si>
    <t>Blood test is a kind of liquid biopsy that checks cancer cells or cancer nucleic acids circulating freely from cells in the blood. A liquid biopsy may be used to distinguish cancer at early stages and it could be a game-changer for both cancer diagnosis and prognosis strategies. Liquid biopsy tests consider several tumor components, such as DNA, RNA, proteins, and the tiny vesicles originating from tumor cells. Actually, liquid biopsy signifies the genetic alterations of tumors through nucleic acids or cells in various body fluids, including blood, urine, cerebrospinal fluid, or saliva in a noninvasive manner. In this review, we present an overall description of liquid biopsy in which circulating tumor cells, cell-free nucleic acids, exosomes, and extrachromosomal circular DNA are included.</t>
  </si>
  <si>
    <t>[Aghamir, Seyed Mohammad Kazem; Khatami, Fatemeh] Univ Tehran Med Sci, Sina Hosp, Urol Res Ctr, Hassan Abad Sq,Imam Khomeini St, Tehran, Iran; [Heshmat, Ramin] Univ Tehran Med Sci, Endocrinol &amp; Metab Populat Sci Inst, Chron Dis Res Ctr, Tehran, Iran; [Ebrahimi, Mehdi] Univ Tehran Med Sci, Sina Hosp, Dept Internal Med, Fac Med, Tehran, Iran</t>
  </si>
  <si>
    <t>Tehran University of Medical Sciences; Tehran University of Medical Sciences; Tehran University of Medical Sciences</t>
  </si>
  <si>
    <t>Khatami, F (corresponding author), Univ Tehran Med Sci, Sina Hosp, Urol Res Ctr, Hassan Abad Sq,Imam Khomeini St, Tehran, Iran.</t>
  </si>
  <si>
    <t>f-khatami@alumnus.tums.ac.ir</t>
  </si>
  <si>
    <t>Khatami, Fatemeh/AAQ-3091-2021; Heshmat, Ramin/S-7435-2017</t>
  </si>
  <si>
    <t>2516-8657</t>
  </si>
  <si>
    <t>10.1177/2516865720904052</t>
  </si>
  <si>
    <t>WOS:000517516000001</t>
  </si>
  <si>
    <t>Marassi, V; Maggio, S; Battistelli, M; Stocchi, V; Zattoni, A; Reschiglian, P; Guescini, M; Roda, B</t>
  </si>
  <si>
    <t>Marassi, Valentina; Maggio, Serena; Battistelli, Michela; Stocchi, Vilberto; Zattoni, Andrea; Reschiglian, Pierluigi; Guescini, Michele; Roda, Barbara</t>
  </si>
  <si>
    <t>An ultracentrifugation - hollow-fiber flow field-flow fractionation orthogonal approach for the purification and mapping of extracellular vesicle subtypes</t>
  </si>
  <si>
    <t>JOURNAL OF CHROMATOGRAPHY A</t>
  </si>
  <si>
    <t>Extracellular Vesicles; Ultracentrifugation; Hollow-fiber flow field-flow fractionation; Multi-angle light scattering; Size and morphology characterization</t>
  </si>
  <si>
    <t>SCATTERING DETECTION; EXOSOME SEPARATION; LIGHT-SCATTERING; DELIVERY; CANCER; QUANTIFICATION; IDENTIFICATION; CHROMATOGRAPHY; MICRORNAS; MECHANISM</t>
  </si>
  <si>
    <t>In the course of their life span, cells release a multitude of different vesicles in the extracellular matrix (EVs), constitutively and/or upon stimulation, carrying signals either inside or on their membrane for intercellular communication. As a natural delivery tool, EVs present many desirable advantages, such as biocompatibility and low toxicity. However, due to the complex biogenesis of EVs and their high heterogeneity in size distribution and composition, the characterization and quantification of EVs and their subpopulations still represents an enticing analytical challenge. Centrifugation methods allow to obtain different subpopulations in an easy way from cell culture conditioned medium and biological fluids including plasma, amniotic fluid and urine, but they still present some drawbacks and limitations. An unsatisfactory isolation can limit their downstream analysis and lead to wrong conclusions regarding biological activities. Isolation and characterization of biologically relevant nanoparticles like EVs is crucial to investigate specific molecular and signaling patterns and requires new combined approaches. Our work was focused on HF5 (miniaturized, hollow-fiber flow field-flow fractionation), and its hyphenation to ultracentrifugation techniques, which are the most assessed techniques for vesicle isolation. We exploited model samples obtained from culture medium of murine myoblasts (C2C12), known to release different subsets of membrane-derived vesicles. Large and small EVs (LEVs and SEVs) were isolated by differential ultracentrifugation (UC). Through an HF5 method employing UV, fluorescence and multi-angle laser scattering as detectors, we characterized these subpopulations in terms of size, abundance and DNA/protein content; moreover, we showed that microvesicles tend to hyper-aggregate and partially release nucleic matter. The quali-quantitative information we obtained from the fractographic profiles was improved with respect to Nano Tracking Analysis (NTA) estimation. The SEV population was then further separated using density gradient centrifugation (DGC), and four fractions were submitted again to HF5-multidetection. This technique is based on a fully orthogonal principle, since F4 does not separate by density, and provided uncorrelated information for each of the fractions processed. The second dimension achieved with HF5 showed good promise in sorting particles with both different size and content, and allowed to identify the presence of fibrilloid nucleic matter. This analytical bidimensional approach proved to be effective for the characterization of highly complex biological samples such as mixtures of EVs and could provide purified fractions for further biological characterization. (C) 2021 Elsevier B.V. All rights reserved.</t>
  </si>
  <si>
    <t>[Marassi, Valentina; Zattoni, Andrea; Reschiglian, Pierluigi; Roda, Barbara] Univ Bologna, Dept Chem G Ciamician, Bologna, Italy; [Maggio, Serena; Battistelli, Michela; Stocchi, Vilberto; Guescini, Michele] Univ Urbino Carlo Bo, Dept Biomol Sci, Urbino, Italy; [Marassi, Valentina; Zattoni, Andrea; Reschiglian, Pierluigi; Roda, Barbara] ByFlow Srl, Bologna, Italy</t>
  </si>
  <si>
    <t>Marassi, V (corresponding author), Univ Bologna, Dept Chem G Ciamician, Bologna, Italy.;Marassi, V (corresponding author), ByFlow Srl, Bologna, Italy.</t>
  </si>
  <si>
    <t>valentina.marassi2@unibo.it</t>
  </si>
  <si>
    <t>Guescini, Michele/L-1297-2019; Zattoni, Andrea/G-1918-2011; Battistelli, Michela/AAN-1138-2021; marassi, valentina/GMX-4674-2022</t>
  </si>
  <si>
    <t>Guescini, Michele/0000-0001-9372-7038; Zattoni, Andrea/0000-0001-6971-5360; marassi, valentina/0000-0001-8742-3708</t>
  </si>
  <si>
    <t>0021-9673</t>
  </si>
  <si>
    <t>1873-3778</t>
  </si>
  <si>
    <t>FEB 8</t>
  </si>
  <si>
    <t>10.1016/j.chroma.2020.461861</t>
  </si>
  <si>
    <t>WOS:000618077000001</t>
  </si>
  <si>
    <t>Marcatti, M; Saada, J; Okereke, I; Wade, CE; Bossmann, SH; Motamedi, M; Szczesny, B</t>
  </si>
  <si>
    <t>Marcatti, Michela; Saada, Jamal; Okereke, Ikenna; Wade, Charles E.; Bossmann, Stefan H.; Motamedi, Massoud; Szczesny, Bartosz</t>
  </si>
  <si>
    <t>Quantification of Circulating Cell Free Mitochondrial DNA in Extracellular Vesicles with PicoGreen (TM) in Liquid Biopsies: Fast Assessment of Disease/Trauma Severity</t>
  </si>
  <si>
    <t>circulating cell free DNA; traumatic brain injury; trauma severity; extracellular veciscles; PicoGreen(TM) staining; mitochondrial DNA</t>
  </si>
  <si>
    <t>The analysis of circulating cell free DNA (ccf-DNA) is an emerging diagnostic tool for the detection and monitoring of tissue injury, disease progression, and potential treatment effects. Currently, most of ccf-DNA in tissue and liquid biopsies is analysed with real-time quantitative PCR (qPCR) that is primer- and template-specific, labour intensive and cost-inefficient. In this report we directly compare the amounts of ccf-DNA in serum of healthy volunteers, and subjects presenting with various stages of lung adenocarcinoma, and survivors of traumatic brain injury using qPCR and quantitative PicoGreen (TM) fluorescence assay. A significant increase of ccf-DNA in lung adenocarcinoma and traumatic brain injury patients, in comparison to the group of healthy human subjects, was found using both analytical methods. However, the direct correlation between PicoGreen (TM) fluorescence and qPCR was found only when mitochondrial DNA (mtDNA)-specific primers were used. Further analysis of the location of ccf-DNA indicated that the majority of DNA is located within lumen of extracellular vesicles (EVs) and is easily detected with mtDNA-specific primers. We have concluded that due to the presence of active DNases in the blood, the analysis of DNA within EVs has the potential of providing rapid diagnostic outcomes. Moreover, we speculate that accurate and rapid quantification of ccf-DNA with PicoGreen (TM) fluorescent probe used as a point of care approach could facilitate immediate assessment and treatment of critically ill patients.</t>
  </si>
  <si>
    <t>[Marcatti, Michela] Univ Texas Med Branch, Dept Neurol, Galveston, TX 77555 USA; [Saada, Jamal; Szczesny, Bartosz] Univ Texas Med Branch, Dept Anesthesiol, Galveston, TX 77555 USA; [Okereke, Ikenna] Univ Texas Med Branch, Dept Surg, Galveston, TX 77555 USA; [Wade, Charles E.] Univ Texas Hlth Sci Ctr Houston, Dept Surg, Houston, TX 77003 USA; [Bossmann, Stefan H.] Univ Kansas Med Ctr, Dept Canc Biol, Kansas City, KS 66160 USA; [Motamedi, Massoud; Szczesny, Bartosz] Univ Texas Med Branch, Dept Ophthalmol, Galveston, TX 77555 USA; [Szczesny, Bartosz] Univ Texas Med Branch, Dept Visual Sci, Galveston, TX 77555 USA</t>
  </si>
  <si>
    <t>University of Texas System; University of Texas Medical Branch Galveston; University of Texas System; University of Texas Medical Branch Galveston; University of Texas System; University of Texas Medical Branch Galveston; University of Texas System; University of Texas Health Science Center Houston; University of Kansas; University of Kansas Medical Center; University of Texas System; University of Texas Medical Branch Galveston; University of Texas System; University of Texas Medical Branch Galveston</t>
  </si>
  <si>
    <t>Szczesny, B (corresponding author), Univ Texas Med Branch, Dept Anesthesiol, Galveston, TX 77555 USA.;Szczesny, B (corresponding author), Univ Texas Med Branch, Dept Ophthalmol, Galveston, TX 77555 USA.;Szczesny, B (corresponding author), Univ Texas Med Branch, Dept Visual Sci, Galveston, TX 77555 USA.</t>
  </si>
  <si>
    <t>mimarcat@utmb.edu; jsaada@utmb.edu; ikokerek@utmb.edu; charles.e.wade@uth.tmc.edu; sbossmann@kumc.edu; mmotamed@utmb.edu; baszczes@utmb.edu</t>
  </si>
  <si>
    <t>Bossmann, Stefan/0000-0002-0058-0127; MARCATTI, MICHELA/0000-0003-1921-4626</t>
  </si>
  <si>
    <t>10.3390/cells10040819</t>
  </si>
  <si>
    <t>WOS:000642852400001</t>
  </si>
  <si>
    <t>Li, HL; Xing, S; Xu, JH; He, Y; Lai, YZ; Wang, Y; Zhang, G; Guo, SH; Deng, M; Zeng, MS; Liu, WL</t>
  </si>
  <si>
    <t>Li, Huilan; Xing, Shan; Xu, Jianhua; He, Yi; Lai, Yanzhen; Wang, Yu; Zhang, Ge; Guo, Songhe; Deng, Min; Zeng, Musheng; Liu, Wanli</t>
  </si>
  <si>
    <t>Aptamer-based CRISPR/Cas12a assay for the ultrasensitive detection of extracellular vesicle proteins</t>
  </si>
  <si>
    <t>Tumor-derived extracellular vesicles; CRISPR/Cas12a; Aptamer; Nasopharyngeal carcinoma; CD109; EGFR</t>
  </si>
  <si>
    <t>CAS12A; CD109</t>
  </si>
  <si>
    <t>Tumor-derived extracellular vesicles (TEVs) have emerged as promising sources of diagnostic and prognostic biomarkers for nasopharyngeal carcinoma (NPC). However, the lack of high-sensitivity analytic methods for ultratrace membrane proteins on TEVs hamper their clinical application of TEVs. Herein, by combining aptamers that specifically bind to protein targets on TEVs, PCR-based exponential amplification and CRISPR/Cas12a real-time DNA detection, we developed a novel technique, termed the aptamer-CRISPR/Cas12a assay, to detect CD109(+) and EGFR(+) TEVs from cell lines and complex biofluids. The platform enables highly sensitive detection of CD109(+) and EGFR(+) TEVs at as low as 100 particles/mL with a linear range spanning 6 orders of magnitude (10(2)-10(8) particles/mL), which was found to be sufficient to effectively detect TEV proteins directly in low-volume (50 mu l) samples. Furthermore, clinical serum sample analysis verified that the combination of serum CD109(+) and EGFR(+) TEV levels yielded high diagnostic accuracy, with an AUC of 0.934 (95% CI: 0.868-1.000), a sensitivity of 84.1% and a specificity of 85.0%, in discriminating NPC from healthy controls. Moreover, the dramatic decrease in both biomarkers in responders after radiotherapy indicated their potential roles in radiotherapy surveillance. Given that the aptamer-CRISPR/Cas12a assay rapidly and conveniently detects ultralow concentrations of CD109(+) and EGFR(+) TEVs directly in serum, it could be useful in NPC diagnosis and prognosis.</t>
  </si>
  <si>
    <t>[Li, Huilan; Xing, Shan; He, Yi; Lai, Yanzhen; Wang, Yu; Liu, Wanli] Sun Yat Sen Univ, Collaborat Innovat Ctr Canc Med,Canc Ctr, State Key Lab Oncol South China,Dept Clin Lab, Guangdong Key Lab Nasopharyngeal Carcinoma Diag &amp;, 651 Dongfeng Rd East, Guangzhou 510060, Peoples R China; [Xu, Jianhua] Guangzhou Univ Chinese Med, ShunDe Hosp, Lab Oncol Sci &amp; Mol Biol, 12 Jinsha Ave, Foshan 528333, Peoples R China; [Lai, Yanzhen] Heyuan Peoples Hosp, Heyuan, Peoples R China; [Zhang, Ge; Guo, Songhe] Sun Yat Sen Univ, Sch Pharmaceut Sci, 132 Waihuandong Rd, Guangzhou 510006, Peoples R China; [Deng, Min] Guangzhou Med Univ, Affiliated Canc Hosp &amp; Inst, 78 Hengzhigang Rd, Guangzhou 510095, Peoples R China; [Zeng, Musheng] Sun Yat Sen Univ, Collaborat Innovat Ctr Canc Med,Canc Ctr, Dept Expt Res,State Key Lab Oncol South China, Guangdong Key Lab Nasopharyngeal Carcinoma Diag &amp;, 651 Dongfeng Rd East, Guangzhou 510060, Peoples R China</t>
  </si>
  <si>
    <t>State Key Lab Oncology South China; Sun Yat Sen University; Guangzhou University of Chinese Medicine; Southern Medical University - China; Sun Yat Sen University; Guangzhou Medical University; State Key Lab Oncology South China; Sun Yat Sen University</t>
  </si>
  <si>
    <t>Liu, WL (corresponding author), Sun Yat Sen Univ, Collaborat Innovat Ctr Canc Med,Canc Ctr, State Key Lab Oncol South China,Dept Clin Lab, Guangdong Key Lab Nasopharyngeal Carcinoma Diag &amp;, 651 Dongfeng Rd East, Guangzhou 510060, Peoples R China.;Deng, M (corresponding author), Guangzhou Med Univ, Affiliated Canc Hosp &amp; Inst, 78 Hengzhigang Rd, Guangzhou 510095, Peoples R China.;Zeng, MS (corresponding author), Sun Yat Sen Univ, Collaborat Innovat Ctr Canc Med,Canc Ctr, Dept Expt Res,State Key Lab Oncol South China, Guangdong Key Lab Nasopharyngeal Carcinoma Diag &amp;, 651 Dongfeng Rd East, Guangzhou 510060, Peoples R China.</t>
  </si>
  <si>
    <t>dengmin510095@163.com; zengmsh@sysucc.org.cn; liuiwl@sysucc.org.cn</t>
  </si>
  <si>
    <t>10.1016/j.talanta.2020.121670</t>
  </si>
  <si>
    <t>WOS:000579910600132</t>
  </si>
  <si>
    <t>Yerneni, SS; Solomon, T; Smith, J; Campbell, PG</t>
  </si>
  <si>
    <t>Yerneni, Saigopalakrishna S.; Solomon, Talia; Smith, Jason; Campbell, Phil G.</t>
  </si>
  <si>
    <t>Radioiodination of extravesicular surface constituents to study the biocorona, cell trafficking and storage stability of extracellular vesicles</t>
  </si>
  <si>
    <t>BIOCHIMICA ET BIOPHYSICA ACTA-GENERAL SUBJECTS</t>
  </si>
  <si>
    <t>Extracellular vesicles; Corona; Radiolabeling; Biocorona; Storage artifacts; Cell trafficking</t>
  </si>
  <si>
    <t>EPIDERMAL-GROWTH-FACTOR; PROTEIN CORONA; PLASMA; EXOSOMES; MEMBRANES; IMPACT</t>
  </si>
  <si>
    <t>Background: Extracellular vesicles (EVs) are produced by all cell types and serve as biological packets delivering a wide variety of molecules for cell-to-cell communication. However, the biology of the EV extravesicular surface domain that we have termed EV 'biocorona' remains underexplored. Upon cell secretion, EVs possess an innate biocorona containing membrane integral and peripheral constituents that is modified by acquired constituents post secretion. This distinguishes EVs from synthetic nanoparticulate biomaterials that are limited to an adsorption-based, acquired biocorona. Methods: The EV biocorona molecular constituents were radiolabeled with 125I to study biocorona constituents and its surface dynamics. As example toolset applications, 125I-EVs were utilized to study EV cell trafficking and the stability of the EV biocorona during storage. Results: The biocorona of EVs consisted of proteins, lipids, DNA and RNA. The cellular uptake of 125I-EVs was temperature dependent and internalized 125I-EVs were rapidly recycled by cells. When 125I-EVs were stored in a purified state, they exhibited time and temperature dependent biocorona shedding and proteolytic degradation that was partially inhibited in the presence of serum. Conclusion: The EV biocorona is complex and dynamic. Radiolabeling of the EV biocorona enables a unique platform methodology to study the biocorona and will facilitate unlocking EV's full clinical translation potential.General significance: The EV biocorona affects EV mediated biological processes in health and disease. Acquiring knowledge of the EV biocorona composition, dynamics, stability and structure not only informs the diagnostic and therapeutic translation of EVs but also aids in designing biomimetic nanomaterials for drug delivery.</t>
  </si>
  <si>
    <t>[Yerneni, Saigopalakrishna S.; Solomon, Talia; Campbell, Phil G.] Carnegie Mellon Univ, Dept Biomed Engn, Pittsburgh, PA 15213 USA; [Solomon, Talia] Carnegie Mellon Univ, Dept Chem Engn, Pittsburgh, PA 15213 USA; [Smith, Jason; Campbell, Phil G.] Carnegie Mellon Univ, Engn Res Accelerator, Pittsburgh, PA 15213 USA</t>
  </si>
  <si>
    <t>Carnegie Mellon University; Carnegie Mellon University; Carnegie Mellon University</t>
  </si>
  <si>
    <t>Campbell, PG (corresponding author), Carnegie Mellon Univ, Scott Hall 6115,5000 Forbes Ave, Pittsburgh, PA 15213 USA.</t>
  </si>
  <si>
    <t>pcampbel@cs.cmu.edu</t>
  </si>
  <si>
    <t>0304-4165</t>
  </si>
  <si>
    <t>1872-8006</t>
  </si>
  <si>
    <t>10.1016/j.bbagen.2021.130069</t>
  </si>
  <si>
    <t>WOS:000790088200004</t>
  </si>
  <si>
    <t>Yasa, B; Sahin, O; Ocut, E; Seven, M; Sozer, S</t>
  </si>
  <si>
    <t>Yasa, Busra; Sahin, Orhan; Ocut, Elif; Seven, Mehmet; Sozer, Selcuk</t>
  </si>
  <si>
    <t>Assessment of Fetal Rhesus D and Gender with Cell-Free DNA and Exosomes from Maternal Blood</t>
  </si>
  <si>
    <t>REPRODUCTIVE SCIENCES</t>
  </si>
  <si>
    <t>Cell-free DNA; Exosome; RHD; SRY; Fetal genotyping</t>
  </si>
  <si>
    <t>PLASMA; TIME; RHD</t>
  </si>
  <si>
    <t>The detection of fetal cell-free DNA (cfDNA) from maternal plasma has enabled the development of essential techniques in prenatal diagnosis during recent years. Extracellular vesicles including exosomes were determined to carry fetal DNA fragments. Considering the known difficulties during isolation and stability of cfDNA, exosomes might provide a new opportunity for prenatal diagnosis and screening. In this study, comparison of cfDNA and exosome DNA (exoDNA) for predicting the fetal sex and Rhesus D (RHD) genotype was performed by using real-time polymerase chain reaction with simultaneous amplification of sequences ofSRYandRHDgenes. Fetal sex andRHDwere determined in 100 and 81 RHD-negative pregnant women with cfDNA and exoDNA, respectively. The gestation ages of pregnant women were between 9 and 40 weeks. The results were compared with the neonatal phenotype for gender and a serological test for RHD. The cfDNA revealed 95.75% sensitivity and 100% specificity inRHDpositivity and 100% sensitivity and 95.45% specificity inSRYpositivity. Cohen's agreement coefficient in the Kappa test ranged from 0.8 to 1.0 (P &lt; 0.00001). Although the exoDNA failed to amplify 16 cases, the remaining 65 cases revealed a true estimate for both fetalRHDandSRYgenes with 100% sensitivity and specificity. Successful application of exoDNA and cfDNA with real-time PCR for fetal genotyping enables this technique to be applied in the assessment of fetal RHD and gender during pregnancy, allowing initiation of early treatment methods and avoiding unnecessary interventions and cost.</t>
  </si>
  <si>
    <t>[Yasa, Busra; Sozer, Selcuk] Istanbul Univ, Aziz Sancar Inst Expt Med, Dept Genet, Istanbul, Turkey; [Sahin, Orhan] Okmeydani Training &amp; Res Hosp, Clin Obstet &amp; Gynecol, Istanbul, Turkey; [Ocut, Elif] Yildiz Tech Univ, Dept Stat, Istanbul, Turkey; [Seven, Mehmet] Istanbul Univ Cerrahpasa, Dept Med Genet, Cerrahpasa Med Sch, Istanbul, Turkey</t>
  </si>
  <si>
    <t>Istanbul University; Istanbul Okmeydani Training &amp; Research Hospital; Yildiz Technical University; Istanbul University - Cerrahpasa</t>
  </si>
  <si>
    <t>Yasa, B; Sozer, S (corresponding author), Istanbul Univ, Aziz Sancar Inst Expt Med, Dept Genet, Istanbul, Turkey.</t>
  </si>
  <si>
    <t>busrayasa94@gmail.com; ssozer@istanbul.edu.tr</t>
  </si>
  <si>
    <t>Sozer, Selcuk/AAD-3877-2020</t>
  </si>
  <si>
    <t>Sozer, Selcuk/0000-0002-5035-4048; SAHIN, Orhan/0000-0002-7216-3816; Yasa Cevik, Busra/0000-0002-4967-6699; Ocut Ayhan, Elif/0000-0003-1821-339X</t>
  </si>
  <si>
    <t>1933-7191</t>
  </si>
  <si>
    <t>1933-7205</t>
  </si>
  <si>
    <t>10.1007/s43032-020-00321-4</t>
  </si>
  <si>
    <t>SEP 2020</t>
  </si>
  <si>
    <t>Obstetrics &amp; Gynecology; Reproductive Biology</t>
  </si>
  <si>
    <t>WOS:000572325200002</t>
  </si>
  <si>
    <t>Roy, JW; Taylor, CA; Beauregard, AP; Dhadi, SR; Ayre, DC; Fry, S; Chacko, S; Wajnberg, G; Joy, AP; Mai-Thi, NN; Crapoulet, N; Barnett, DA; Ghosh, A; Lewis, SM; Ouellette, RJ</t>
  </si>
  <si>
    <t>Roy, Jeremy W.; Taylor, Catherine A.; Beauregard, Annie P.; Dhadi, Surendar R.; Ayre, D. Craig; Fry, Sheena; Chacko, Simi; Wajnberg, Gabriel; Joy, Andrew P.; Mai-Thi, Ngoc-Nu; Crapoulet, Nicolas; Barnett, David A.; Ghosh, Anirban; Lewis, Stephen M.; Ouellette, Rodney J.</t>
  </si>
  <si>
    <t>A multiparametric extraction method for Vn96-isolated plasma extracellular vesicles and cell-free DNA that enables multi-omic profiling</t>
  </si>
  <si>
    <t>INTERNATIONAL SOCIETY; POSITION STATEMENT; LIQUID BIOPSIES; CHALLENGES</t>
  </si>
  <si>
    <t>Extracellular vesicles (EVs) have been recognized as a rich material for the analysis of DNA, RNA, and protein biomarkers. A remaining challenge for the deployment of EV-based diagnostic and prognostic assays in liquid biopsy testing is the development of an EV isolation method that is amenable to a clinical diagnostic lab setting and is compatible with multiple types of biomarker analyses. We have previously designed a synthetic peptide, known as Vn96 (ME kit), which efficiently isolates EVs from multiple biofluids in a short timeframe without the use of specialized lab equipment. Moreover, it has recently been shown that Vn96 also facilitates the co-isolation of cell-free DNA (cfDNA) along with EVs. Herein we describe an optimized method for Vn96 affinity-based EV and cfDNA isolation from plasma samples and have developed a multiparametric extraction protocol for the sequential isolation of DNA, RNA, and protein from the same plasma EV and cfDNA sample. We are able to isolate sufficient material by the multiparametric extraction protocol for use in downstream analyses, including ddPCR (DNA) and 'omic profiling by both small RNA sequencing (RNA) and mass spectrometry (protein), from a minimum volume (4 mL) of plasma. This multiparametric extraction protocol should improve the ability to analyse multiple biomarker materials (DNA, RNA and protein) from the same limited starting material, which may improve the sensitivity and specificity of liquid biopsy tests that exploit EV-based and cfDNA biomarkers for disease detection and monitoring.</t>
  </si>
  <si>
    <t>[Roy, Jeremy W.; Taylor, Catherine A.; Beauregard, Annie P.; Dhadi, Surendar R.; Ayre, D. Craig; Fry, Sheena; Chacko, Simi; Wajnberg, Gabriel; Joy, Andrew P.; Mai-Thi, Ngoc-Nu; Crapoulet, Nicolas; Barnett, David A.; Ghosh, Anirban; Lewis, Stephen M.; Ouellette, Rodney J.] Atlantic Canc Res Inst, 35 Providence St, Moncton, NB E1C 8X3, Canada; [Ghosh, Anirban; Lewis, Stephen M.; Ouellette, Rodney J.] Univ Moncton, Dept Chem &amp; Biochem, Moncton, NB, Canada; [Lewis, Stephen M.] Beatrice Hunter Canc Res Inst, Halifax, NS, Canada; [Beauregard, Annie P.] Fisheries &amp; Oceans Canada, Aquat Anim Hlth, Moncton, NB, Canada; [Ayre, D. Craig] Univ Med &amp; Hlth Sci, Immunol Genet &amp; Mol Sci, Basseterre, St Kitts &amp; Nevi; [Fry, Sheena] Hlth Canada, Specialized Hlth Serv Directorate, Ottawa, ON, Canada</t>
  </si>
  <si>
    <t>University of Moncton; Fisheries &amp; Oceans Canada; Health Canada</t>
  </si>
  <si>
    <t>Ouellette, RJ (corresponding author), Atlantic Canc Res Inst, 35 Providence St, Moncton, NB E1C 8X3, Canada.;Ouellette, RJ (corresponding author), Univ Moncton, Dept Chem &amp; Biochem, Moncton, NB, Canada.</t>
  </si>
  <si>
    <t>rodneyo@canceratl.ca</t>
  </si>
  <si>
    <t>Wajnberg, Gabriel/AAQ-4270-2021</t>
  </si>
  <si>
    <t>Wajnberg, Gabriel/0000-0002-4479-4063; Joy, Andrew/0000-0002-5477-1615; Roy, Jeremy/0000-0003-0126-1248</t>
  </si>
  <si>
    <t>APR 13</t>
  </si>
  <si>
    <t>10.1038/s41598-021-87526-y</t>
  </si>
  <si>
    <t>WOS:000640612400036</t>
  </si>
  <si>
    <t>Wang, XW; Weidling, I; Koppel, S; Menta, B; Ortiz, JP; Kalani, A; Wilkins, HM; Swerdlow, RH</t>
  </si>
  <si>
    <t>Wang, Xiaowan; Weidling, Ian; Koppel, Scott; Menta, Blaise; Ortiz, Judit Perez; Kalani, Anuradha; Wilkins, Heather M.; Swerdlow, Russell H.</t>
  </si>
  <si>
    <t>Detection of mitochondria-pertinent components in exosomes</t>
  </si>
  <si>
    <t>MITOCHONDRION</t>
  </si>
  <si>
    <t>Biomarker; Exosome; Mitochondria; mitochondrial DNA; NUMT</t>
  </si>
  <si>
    <t>EXTRACELLULAR VESICLES; PROTEOMIC ANALYSIS; DNA; CELLS</t>
  </si>
  <si>
    <t>We screened cell line and plasma-derived exosomes for molecules that localize to mitochondria or that reflect mitochondrial integrity. SH-SY5Y cell-derived exosomes contained humanin, citrate synthase, and fibroblast growth factor 21 protein, and plasma-derived exosomes contained humanin, voltage-dependent anion-selective channel 1, and transcription factor A protein. Nuclear mitochondrial (NUMT) DNA complicated analyses of mitochondrial DNA (mtDNA), which otherwise suggested exosomes contain at most very low amounts of extended mtDNA sequences but likely contain degraded pieces of mtDNA. Cell and plasma-derived exosomes contained several mtDNA-derived mRNA sequences, including those for ND2, CO2, and humanin. These results can guide exosome-focused, mitochondria-pertinent biomarker development.</t>
  </si>
  <si>
    <t>[Wang, Xiaowan; Weidling, Ian; Koppel, Scott; Menta, Blaise; Ortiz, Judit Perez; Kalani, Anuradha; Wilkins, Heather M.; Swerdlow, Russell H.] Univ Kansas, Med Ctr, Dept Neurol, Kansas City, KS 66103 USA; [Wang, Xiaowan; Weidling, Ian; Koppel, Scott; Menta, Blaise; Ortiz, Judit Perez; Kalani, Anuradha; Wilkins, Heather M.; Swerdlow, Russell H.] Univ Kansas, Alzheimers Dis Ctr, Kansas City, KS USA; [Swerdlow, Russell H.] Univ Kansas, Med Ctr, Dept Mol &amp; Integrat Physiol, Kansas City, KS 66103 USA; [Swerdlow, Russell H.] Univ Kansas, Med Ctr, Dept Biochem &amp; Mol Biol, Kansas City, KS USA</t>
  </si>
  <si>
    <t>University of Kansas; University of Kansas Medical Center; University of Kansas; University of Kansas; University of Kansas Medical Center; University of Kansas; University of Kansas Medical Center</t>
  </si>
  <si>
    <t>Swerdlow, RH (corresponding author), Univ Kansas, Sch Med, Landon Ctr Aging, MS 2012,3901 Rainbow Blvd, Kansas City, KS 66160 USA.</t>
  </si>
  <si>
    <t>rswerdlow@kumc.edu</t>
  </si>
  <si>
    <t>Koppel, Scott/0000-0001-9001-4454</t>
  </si>
  <si>
    <t>1567-7249</t>
  </si>
  <si>
    <t>1872-8278</t>
  </si>
  <si>
    <t>10.1016/j.mito.2020.09.006</t>
  </si>
  <si>
    <t>Cell Biology; Genetics &amp; Heredity</t>
  </si>
  <si>
    <t>WOS:000606328400002</t>
  </si>
  <si>
    <t>Wang, C; Wang, Y; Shi, XC; Tang, XD; Cheng, W; Wang, XY; An, YN; Li, SL; Xu, HY; Li, Y; Luan, WJ; Wang, XF; Chen, ZB; Liu, MY; Yu, L</t>
  </si>
  <si>
    <t>Wang, Chao; Wang, Yang; Shi, Xiaochen; Tang, Xudong; Cheng, Wei; Wang, Xueyan; An, Yanan; Li, Shulin; Xu, Hongyue; Li, Yan; Luan, Wenjing; Wang, Xuefei; Chen, Zhaobin; Liu, Mingyuan; Yu, Lu</t>
  </si>
  <si>
    <t>The TRAPs From Microglial Vesicles Protect Against Listeria Infection in the CNS</t>
  </si>
  <si>
    <t>FRONTIERS IN CELLULAR NEUROSCIENCE</t>
  </si>
  <si>
    <t>microglia; Listeria; extracellular traps; reactive oxygen species; vesicle</t>
  </si>
  <si>
    <t>NEUTROPHIL EXTRACELLULAR TRAPS; CENTRAL-NERVOUS-SYSTEM; MATRIX METALLOPROTEINASES; PNEUMOCOCCAL MENINGITIS; INTERFERON-GAMMA; CELLS; MONOCYTOGENES; ACTIVATION; EXPRESSION; RELEASE</t>
  </si>
  <si>
    <t>Previous studies have demonstrated that T cells and microglia could fight against cerebral Listeria monocytogenes (Listeria); however, their synergistic anti-Listeria mechanisms remain unknown. Following Listeria infection in a culture system, we found that microglia, but not nerve cells, could release extracellular traps (ETs) which originated from microglial vesicles. Specific inhibitor analysis showed that extracellular DNA (eDNA), matrix metallopeptidases (MMP9 and MMP12), citrullinated histone H3, and peptidyl arginine deiminase 2 were the major components of microglial ETs (MiETs) and were also the components of vesicles. Systematic analysis indicated that Listeria-induced MiETs were cytosolic reactive oxygen species (ROS)- and NADPH oxidase (NOX)-dependent and involved ERK. MiETs were exhibited in Listeria-infected mouse brain and might protected against Listeria infection via bacterial killing in a mouse meningitis model, and MiETs existed in cerebrospinal fluid (CSF) from Listeria meningitis patients in vivo and in vitro. Additionally, interferon-gamma could induce MiET formation in Listeria-infected microglia in vitro that was mediated by NOX, and there was a positive relationship between the elevated level of IFN-gamma and eDNA and nucleosomes in the brain homogenates and CSF of Listeria meningitis model mice and in the CSF before treatment in clinical Listeria meningitis patients. Together, this is the first report of MiET formation, these findings pave the way for deeper exploration of the innate immune response to pathogens in CNS.</t>
  </si>
  <si>
    <t>[Wang, Chao; Wang, Yang; Shi, Xiaochen; Cheng, Wei; An, Yanan; Li, Shulin; Xu, Hongyue; Li, Yan; Luan, Wenjing; Wang, Xuefei; Liu, Mingyuan; Yu, Lu] Jilin Univ, Key Lab Zoonoses Res, Minist Educ, Coll Vet Med,Inst Zoonosis,Dept Infect Dis,Hosp 1, Changchun, Jilin, Peoples R China; [Tang, Xudong; Wang, Xueyan] Tsinghua Univ Shenzhen, Res Inst, Key Lab New Drug Res TCM, Shenzhen, Peoples R China; [Chen, Zhaobin] Sichuan Univ, West China Sch Publ Hlth, Chengdu, Sichuan, Peoples R China; [Chen, Zhaobin] Shenzhen Ctr Dis Control &amp; Prevent, Shenzhen, Peoples R China; [Liu, Mingyuan] Jiangsu Coinnovat Ctr Prevent &amp; Control Important, Yangzhou, Jiangsu, Peoples R China</t>
  </si>
  <si>
    <t>Jilin University; Tsinghua University; Sichuan University</t>
  </si>
  <si>
    <t>Yu, L (corresponding author), Jilin Univ, Key Lab Zoonoses Res, Minist Educ, Coll Vet Med,Inst Zoonosis,Dept Infect Dis,Hosp 1, Changchun, Jilin, Peoples R China.</t>
  </si>
  <si>
    <t>yu_lu@jlu.edu.cn</t>
  </si>
  <si>
    <t>Li, Shulin/D-6478-2011</t>
  </si>
  <si>
    <t>Wang, Yang/0000-0001-8055-9522</t>
  </si>
  <si>
    <t>1662-5102</t>
  </si>
  <si>
    <t>MAY 7</t>
  </si>
  <si>
    <t>10.3389/fncel.2019.00199</t>
  </si>
  <si>
    <t>WOS:000467477900003</t>
  </si>
  <si>
    <t>Bracht, JWP; Gimenez-Capitan, A; Huang, CY; Potie, N; Pedraz-Valdunciel, C; Warren, S; Rosell, R; Molina-Vila, MA</t>
  </si>
  <si>
    <t>Bracht, Jillian W. P.; Gimenez-Capitan, Ana; Huang, Chung-Ying; Potie, Nicolas; Pedraz-Valdunciel, Carlos; Warren, Sarah; Rosell, Rafael; Molina-Vila, Miguel A.</t>
  </si>
  <si>
    <t>Analysis of extracellular vesicle mRNA derived from plasma using the nCounter platform</t>
  </si>
  <si>
    <t>Extracellular vesicles (EVs) are double-layered phospholipid membrane vesicles that are released by most cells and can mediate intercellular communication through their RNA cargo. In this study, we tested if the NanoString nCounter platform can be used for the analysis of EV-mRNA. We developed and optimized a methodology for EV enrichment, EV-RNA extraction and nCounter analysis. Then, we demonstrated the validity of our workflow by analyzing EV-RNA profiles from the plasma of 19 cancer patients and 10 controls and developing a gene signature to differentiate cancer versus control samples. TRI reagent outperformed automated RNA extraction and, although lower plasma input is feasible, 500 mu L provided highest total counts and number of transcripts detected. A 10-cycle pre-amplification followed by DNase treatment yielded reproducible mRNA target detection. However, appropriate probe design to prevent genomic DNA binding is preferred. A gene signature, created using a bioinformatic algorithm, was able to distinguish between control and cancer EV-mRNA profiles with an area under the ROC curve of 0.99. Hence, the nCounter platform can be used to detect mRNA targets and develop gene signatures from plasma-derived EVs.</t>
  </si>
  <si>
    <t>[Bracht, Jillian W. P.; Gimenez-Capitan, Ana; Molina-Vila, Miguel A.] Quiron Dexeus Univ Hosp, Lab Oncol, Pangaea Oncol, Sabino Arana 5-19, Barcelona 08028, Spain; [Bracht, Jillian W. P.; Pedraz-Valdunciel, Carlos] Univ Autonoma Barcelona UAB, Dept Biochem Mol Biol &amp; Biomed, Cerdanyola Del Valles 08193, Spain; [Huang, Chung-Ying; Warren, Sarah] NanoString Technol, Seattle, WA USA; [Potie, Nicolas] Univ Granada, Dept Genet, Fac Sci, Granada 18071, Spain; [Potie, Nicolas] PTS, Biotechnol Inst, Ctr Invest Biomed, Bioinformat Lab, Avda Conocimiento S-N, Granada 18100, Spain; [Pedraz-Valdunciel, Carlos; Rosell, Rafael] Germans Trias &amp; Pujol Hlth Sci Inst &amp; Hosp IGTP, Barcelona, Spain</t>
  </si>
  <si>
    <t>Autonomous University of Barcelona; University of Granada</t>
  </si>
  <si>
    <t>Bracht, JWP; Molina-Vila, MA (corresponding author), Quiron Dexeus Univ Hosp, Lab Oncol, Pangaea Oncol, Sabino Arana 5-19, Barcelona 08028, Spain.;Bracht, JWP (corresponding author), Univ Autonoma Barcelona UAB, Dept Biochem Mol Biol &amp; Biomed, Cerdanyola Del Valles 08193, Spain.</t>
  </si>
  <si>
    <t>jill94bracht@gmail.com; mamolina@panoncology.com</t>
  </si>
  <si>
    <t>Giménez-Capitán, Ana/AAX-1433-2021; Bracht, Jill/AAA-6419-2022</t>
  </si>
  <si>
    <t>Bracht, Jill/0000-0001-9552-3960</t>
  </si>
  <si>
    <t>FEB 12</t>
  </si>
  <si>
    <t>10.1038/s41598-021-83132-0</t>
  </si>
  <si>
    <t>WOS:000620250900004</t>
  </si>
  <si>
    <t>Charoenyiriyakul, C; Takahashi, Y; Morishita, M; Nishikawa, M; Takakura, Y</t>
  </si>
  <si>
    <t>Charoenyiriyakul, Chonlada; Takahashi, Yuki; Morishita, Masaki; Nishikawa, Makiya; Takakura, Yoshinobu</t>
  </si>
  <si>
    <t>Role of Extracellular Vesicle Surface Proteins in the Pharmacokinetics of Extracellular Vesicles</t>
  </si>
  <si>
    <t>MOLECULAR PHARMACEUTICS</t>
  </si>
  <si>
    <t>EV; Gag protein; surface modification; pharmacokinetics</t>
  </si>
  <si>
    <t>PHYSICOCHEMICAL PROPERTIES; B16BL6-DERIVED EXOSOMES; BLOOD-CIRCULATION; DELIVERY VEHICLES; DRUG-DELIVERY; CELLS; NANOPARTICLES; CLEARANCE; INJECTION; MELANOMA</t>
  </si>
  <si>
    <t>Extracellular vesicles (EVs) are small membrane vesicles secreted from cells and have great potential as drug delivery carriers. Surface proteins on EV membranes might play roles in pharmacokinetics. One method which can be used to study the role of surface membrane of EV is to modify the inner space of EV. In the present study, we constructed a plasmid DNA expressing a fusion protein of Gag protein derived from Moloney murine leukemia virus (Gag) and Gaussia luciferase (gLuc) (Gag-gLuc) to modify the inner space of EVs. EVs were collected from B16BL6 melanoma cells, transfected with the plasmid, and isolated by a differential ultracentrifugation method. Gag-gLuc EVs were negatively charged globular vesicles with a diameter of approximately 100 nm. gLuc labeling of the Gag-gLuc EVs was stable in serum. gLuc activity of Gag-gLuc EVs was minimally decreased by proteinase K (ProK) treatment, indicating that gLuc was modified in the inner space of EV. Then, to evaluate the effect of the surface proteins of EVs on their pharmacokinetics, Gag-gLuc EVs treated with ProK were intravenously administered to mice. Volume of distribution (Vd) was significantly smaller for treated EVs than untreated EVs. Moreover, integrin alpha(6)beta(1), an integrin known to be involved in lung targeting, was degraded after ProK treatment. The ProK treatment significantly reduced the lung distribution of EVs after intravenous injection. These results indicate that the surface proteins of EVs such as integrin alpha(6)beta(1) play some roles in pharmacokinetics in terms of reducing Vd and their distribution to the lung</t>
  </si>
  <si>
    <t>[Charoenyiriyakul, Chonlada; Takahashi, Yuki; Takakura, Yoshinobu] Kyoto Univ, Grad Sch Pharmaceut Sci, Dept Biopharmaceut &amp; Drug Metab, Sakyo Ku, Kyoto 6068501, Japan; [Morishita, Masaki] Kyoto Pharmaceut Univ, Dept Biopharmaceut, Yamashina Ku, Kyoto 6078414, Japan; [Nishikawa, Makiya] Tokyo Univ Sci, Fac Pharmaceut Sci, Lab Biopharmaceut, 2641 Yamazaki, Noda, Chiba 2788510, Japan</t>
  </si>
  <si>
    <t>Kyoto University; Kyoto Pharmaceutical University; Tokyo University of Science</t>
  </si>
  <si>
    <t>Takahashi, Y (corresponding author), Kyoto Univ, Grad Sch Pharmaceut Sci, Dept Biopharmaceut &amp; Drug Metab, Sakyo Ku, Kyoto 6068501, Japan.</t>
  </si>
  <si>
    <t>Song, Eun Joo/Z-5130-2019; Morishita, Masaki/ABD-8396-2020</t>
  </si>
  <si>
    <t>Takahashi, Yuki/0000-0002-8772-2772; Charoenviriyakul, Chonlada/0000-0003-1688-3285; Morishita, Masaki/0000-0002-3004-3779</t>
  </si>
  <si>
    <t>1543-8384</t>
  </si>
  <si>
    <t>10.1021/acs.molpharmaceut.7b00950</t>
  </si>
  <si>
    <t>Medicine, Research &amp; Experimental; Pharmacology &amp; Pharmacy</t>
  </si>
  <si>
    <t>Research &amp; Experimental Medicine; Pharmacology &amp; Pharmacy</t>
  </si>
  <si>
    <t>WOS:000427093600036</t>
  </si>
  <si>
    <t>Vitale, SR; Helmijr, JA; Gerritsen, M; Coban, H; van Dessel, LF; Beije, N; van der Vlugt-Daane, M; Vigneri, P; Sieuwerts, AM; Dits, N; van Royen, ME; Jenster, G; Sleijfer, S; Lolkema, M; Martens, JWM; Jansen, MPHM</t>
  </si>
  <si>
    <t>Vitale, Silvia R.; Helmijr, Jean A.; Gerritsen, Marjolein; Coban, Hicret; van Dessel, Lisanne F.; Beije, Nick; van der Vlugt-Daane, Michelle; Vigneri, Paolo; Sieuwerts, Anieta M.; Dits, Natasja; van Royen, Martin E.; Jenster, Guido; Sleijfer, Stefan; Lolkema, Martijn; Martens, John W. M.; Jansen, Maurice P. H. M.</t>
  </si>
  <si>
    <t>Detection of tumor-derived extracellular vesicles in plasma from patients with solid cancer</t>
  </si>
  <si>
    <t>EV-RNA; cfDNA; Liquid biopsy; dPCR</t>
  </si>
  <si>
    <t>MEMBRANE-VESICLES; PROSTATE-CANCER; MESSENGER-RNAS; EXOSOMES; MICROVESICLES; MICRORNAS; TETRASPANINS; BIOMARKERS; PROTEINS; MARKERS</t>
  </si>
  <si>
    <t>BackgroundExtracellular vesicles (EVs) are actively secreted by cells into body fluids and contain nucleic acids of the cells they originate from. The goal of this study was to detect circulating tumor-derived EVs (ctEVs) by mutant mRNA transcripts (EV-RNA) in plasma of patients with solid cancers and compare the occurrence of ctEVs with circulating tumor DNA (ctDNA) in cell-free DNA (cfDNA).MethodsFor this purpose, blood from 20 patients and 15 healthy blood donors (HBDs) was collected in different preservation tubes (EDTA, BCT, CellSave) and processed into plasma within 24h from venipuncture. EVs were isolated with the ExoEasy protocol from this plasma and from conditioned medium of 6 cancer cell lines and characterized according to MISEV2018-guidelines. RNA from EVs was isolated with the ExoRNeasy protocol and evaluated for transcript expression levels of 96 genes by RT-qPCR and genotyped by digital PCR.ResultsOur workflow applied on cell lines revealed a high concordance between cellular mRNA and EV-RNA in expression levels as well as variant allele frequencies for PIK3CA, KRAS and BRAF. Plasma CD9-positive EV and GAPDH EV-RNA levels were significantly different between the preservation tubes. The workflow detected only ctEVs with mutant transcripts in plasma of patients with high amounts (&gt;20%) of circulating tumor DNA (ctDNA). Expression profiling showed that the EVs from patients resemble healthy donors more than tumor cell lines supporting that most EVs are derived from healthy tissue.ConclusionsWe provide a workflow for ctEV detection by spin column-based generic isolation of EVs and PCR-based measurement of gene expression and mutant transcripts in EV-RNA derived from cancer patients' blood plasma. This workflow, however, detected tumor-specific mutations in blood less often in EV-RNA than in cfDNA.</t>
  </si>
  <si>
    <t>[Vitale, Silvia R.; Helmijr, Jean A.; Gerritsen, Marjolein; Coban, Hicret; van Dessel, Lisanne F.; Beije, Nick; van der Vlugt-Daane, Michelle; Sieuwerts, Anieta M.; Sleijfer, Stefan; Lolkema, Martijn; Martens, John W. M.; Jansen, Maurice P. H. M.] Erasmus MC, Canc Inst, Dept Med Oncol, Room Be400,Dr Molewaterpl 40, NL-3015 GD Rotterdam, Netherlands; [Vitale, Silvia R.; Vigneri, Paolo] Univ Catania, Ctr Expt Oncol &amp; Hematol, Dept Clin &amp; Expt Med, Catania, Italy; [Dits, Natasja; Jenster, Guido] Erasmus MC, Canc Inst, Dept Urol, Rotterdam, Netherlands; [van Royen, Martin E.] Erasmus MC, Canc Inst, Dept Pathol, Rotterdam, Netherlands; [Sleijfer, Stefan; Martens, John W. M.] Erasmus MC, Canc Inst, Dept Canc Genom Netherlands, Rotterdam, Netherlands</t>
  </si>
  <si>
    <t>Erasmus University Rotterdam; Erasmus MC; Erasmus MC Cancer Institute; University of Catania; Erasmus University Rotterdam; Erasmus MC; Erasmus MC Cancer Institute; Erasmus University Rotterdam; Erasmus MC; Erasmus MC Cancer Institute; Erasmus University Rotterdam; Erasmus MC; Erasmus MC Cancer Institute</t>
  </si>
  <si>
    <t>Jansen, MPHM (corresponding author), Erasmus MC, Canc Inst, Dept Med Oncol, Room Be400,Dr Molewaterpl 40, NL-3015 GD Rotterdam, Netherlands.</t>
  </si>
  <si>
    <t>m.p.h.m.jansen@erasmusmc.nl</t>
  </si>
  <si>
    <t>VIGNERI, Paolo/K-8504-2016</t>
  </si>
  <si>
    <t>VIGNERI, Paolo/0000-0002-5943-6066; Lolkema, Martijn/0000-0003-0466-2928</t>
  </si>
  <si>
    <t>10.1186/s12885-021-08007-z</t>
  </si>
  <si>
    <t>WOS:000634948800009</t>
  </si>
  <si>
    <t>Li , YJ; Liu, RP; Ding, MN; Zheng, Q; Wu, JZ; Xue, XY; Gu, YQ; Ma, BN; Cai, YJ; Li, S; Lin, S; Zhang, LY; Li, XJY</t>
  </si>
  <si>
    <t>Li, Ya-Jing; Liu, Run-Ping; Ding, Ming-Ning; Zheng, Qi; Wu, Jian-Zhi; Xue, Xiao-Yong; Gu, Yi-Qing; Ma, Bo-Ning; Cai, Ya-Jie; Li, Shuo; Lin, Sheng; Zhang, Lu-Yong; Li, Xiaojiaoyang</t>
  </si>
  <si>
    <t>Tetramethylpyrazine prevents liver fibrotic injury in mice by targeting hepatocyte-derived and mitochondrial DNA-enriched extracellular vesicles</t>
  </si>
  <si>
    <t>ACTA PHARMACOLOGICA SINICA</t>
  </si>
  <si>
    <t>liver fibrosis; tetramethylpyrazine; CCl4; acetaminophen; extracellular vesicle; intercellular communication; mouse primary hepatocytes; hepatic stellate cells</t>
  </si>
  <si>
    <t>HEPATIC STELLATE CELLS; INHIBITION; ACTIVATION; PATHWAYS</t>
  </si>
  <si>
    <t>Liver fibrosis is the common consequence of almost all liver diseases and has become an urgent clinical problem without efficient therapies. Recent evidence has shown that hepatocytes-derived extracellular vesicles (EVs) play important roles in liver pathophysiology, but little is known about the role of damaged hepatocytes-derived EVs in hepatic stellate cell (HSC) activation and following fibrosis. Tetramethylpyrazine (TMP) from Ligusticum wallichii Franchat exhibits a broad spectrum of biological activities including liver protection. In this study, we investigated whether TMP exerted liver-protective action through regulating EV-dependent intercellular communication between hepatocytes and HSCs. Chronic liver injury was induced in mice by CCl4 (1.6 mg/kg, i.g.) twice a week for 8 weeks. In the last 4 weeks of CCl4 administration, mice were given TMP (40, 80, 160 mg center dot kg(-1)center dot d(-1), i.g.). Acute liver injury was induced in mice by injection of a single dose of CCl4 (0.8 mg/kg, i.p.). After injection, mice were treated with TMP (80 mg/kg) every 24 h. We showed that TMP treatment dramatically ameliorated CCl4-induced oxidative stress and hepatic inflammation as well as acute or chronic liver fibrosis. In cultured mouse primary hepatocytes (MPHs), treatment with CCl4 or acetaminophen resulted in mitochondrial dysfunction, release of mitochondrial DNA (mtDNA) from injured hepatocytes to adjacent hepatocytes and HSCs through EVs, mediating hepatocyte damage and fibrogenic responses in activated HSCs; pretreatment of MPHs with TMP (25 mu M) prevented all these pathological effects. Transplanted serum EVs from TMP-treated mice prevented both initiation and progression of liver fibrosis caused by CCl4. Taken together, this study unravels the complex mechanisms underlying the protective effects of TMP against mtDNA-containing EV-mediated hepatocyte injury and HSC activation during liver injury, and provides critical evidence inspiring the development of TMP-based innovative therapeutic agents for the treatment of liver fibrosis.</t>
  </si>
  <si>
    <t>[Li, Ya-Jing; Ding, Ming-Ning; Wu, Jian-Zhi; Xue, Xiao-Yong; Ma, Bo-Ning; Li, Xiaojiaoyang] Beijing Univ Chinese Med, Sch Life Sci, Beijing 100029, Peoples R China; [Liu, Run-Ping; Zheng, Qi; Gu, Yi-Qing; Cai, Ya-Jie; Li, Shuo] Beijing Univ Chinese Med, Sch Chinese Mat Med, Beijing 100029, Peoples R China; [Lin, Sheng] Beijing Univ Chinese Med, Dongzhimen Hosp, Key Lab Chinese Internal Med Minist Educ &amp; Beijin, Beijing 100029, Peoples R China; [Zhang, Lu-Yong] Guangdong Pharmaceut Univ, Ctr Drug Screening &amp; Pharmacodynam Evaluat, Sch Pharm, Guangzhou 510006, Peoples R China</t>
  </si>
  <si>
    <t>Beijing University of Chinese Medicine; Beijing University of Chinese Medicine; Beijing University of Chinese Medicine; Guangdong Pharmaceutical University</t>
  </si>
  <si>
    <t>Li, XJY (corresponding author), Beijing Univ Chinese Med, Sch Life Sci, Beijing 100029, Peoples R China.</t>
  </si>
  <si>
    <t>xiaojiaoyang.li@bucm.edu.cn</t>
  </si>
  <si>
    <t>Li, Xiaojiaoyang/CAG-6603-2022</t>
  </si>
  <si>
    <t>Li, Xiaojiaoyang/0000-0003-0291-5856</t>
  </si>
  <si>
    <t>1671-4083</t>
  </si>
  <si>
    <t>1745-7254</t>
  </si>
  <si>
    <t>10.1038/s41401-021-00843-w</t>
  </si>
  <si>
    <t>JAN 2022</t>
  </si>
  <si>
    <t>WOS:000742317600001</t>
  </si>
  <si>
    <t>Dass, M; Aittan, S; Muthumohan, R; Anthwal, D; Gupta, RK; Mahajan, G; Kumari, P; Sharma, N; Taneja, RS; Sharma, LK; Shree, R; Lal, V; Tyagi, JS; Haldar, S</t>
  </si>
  <si>
    <t>Dass, Manisha; Aittan, Simran; Muthumohan, Rajagopalan; Anthwal, Divya; Gupta, Rakesh Kumar; Mahajan, Gargi; Kumari, Pooja; Sharma, Neera; Taneja, Rajesh S.; Sharma, Lokesh Kumar; Shree, Ritu; Lal, Vivek; Tyagi, Jaya Sivaswami; Haldar, Sagarika</t>
  </si>
  <si>
    <t>Utility of cell-free transrenal DNA for the diagnosis of Tuberculous Meningitis: A proof-of-concept study</t>
  </si>
  <si>
    <t>TUBERCULOSIS</t>
  </si>
  <si>
    <t>Molecular diagnostics; Cell-free DNA; Transrenal DNA; Extracellular vesicles; Xpert MTB/RIF; Tuberculous meningitis</t>
  </si>
  <si>
    <t>MYCOBACTERIUM-TUBERCULOSIS; PULMONARY TUBERCULOSIS; EXTRACELLULAR VESICLES; URINE; SAMPLES; BLOOD; PCR</t>
  </si>
  <si>
    <t>Tuberculous Meningitis (TBM) diagnosis remains a grave challenge. We evaluated the utility of extracellular vesicles (EVs) as a source of cell-free transrenal-mycobacterial DNA (cf-Tr-MTB DNA) for TBM diagnosis from urine samples. We developed a qPCR-assay targeting a highly repetitive 36-bp sequence specific to Mycobacterium tuberculosis complex. EVs were isolated from urine samples of suspected TBM groups (n = 44) [categorized using composite reference standard as 'Definite' TBM (n = 8), 'Probable' TBM (n = 15), 'Possible' TBM (n = 21)] and 'Non-TBM' group (n = 26). cf-Tr-MTB DNA-based qPCR assay was applied to DNA isolated from EVs (EV-DNA) and EV-free-fraction (EV-free DNA). ROC-curves were generated using qPCR results of 'Definite' TBM and 'Non-TBM' category in both EV-DNA and EV-free DNA samples and cut-off values were selected to provide 100% (95%CI:69.1-100) specificity. The cf-Tr-MTB DNA assay gave a sensitivity of 54.5% (95%CI:38.8-69.6) for EV-DNA and 77.3% (95%CI:62.1-88.5) for EV-free DNA in the TBM group (n = 44). The combination of EV-DNA and EV-free DNA results (corresponding to performance cf-Tr MTB DNA assay in urine), gave an overall sensitivity of 81.8% (95%CI:67.2-91.8) in the TBM group. Our results confirmed EVs as one of the sources of cf-Tr-MTB DNA and we believe the cf-Tr-MTB DNA-based qPCR assay has a potential application for TBM diagnosis.</t>
  </si>
  <si>
    <t>[Dass, Manisha; Aittan, Simran; Anthwal, Divya; Gupta, Rakesh Kumar; Mahajan, Gargi; Haldar, Sagarika] Post Grad Inst Med Educ &amp; Res, Dept Expt Med &amp; Biotechnol, Chandigarh, India; [Muthumohan, Rajagopalan; Tyagi, Jaya Sivaswami; Haldar, Sagarika] NCR Biotech Sci Cluster, Translat Hlth Sci &amp; Technol Inst, Faridabad, India; [Kumari, Pooja; Tyagi, Jaya Sivaswami] All India Inst Med Sci, Dept Biotechnol, New Delhi, India; [Sharma, Neera; Sharma, Lokesh Kumar] Dr Ram Manohar Lohia Hosp, Dept Biochem, New Delhi, India; [Taneja, Rajesh S.] Dr Ram Manohar Lohia Hosp, Dept Med, New Delhi, India; [Shree, Ritu; Lal, Vivek] Post Grad Inst Med Educ &amp; Res, Dept Neurol, Chandigarh, India</t>
  </si>
  <si>
    <t>Post Graduate Institute of Medical Education &amp; Research (PGIMER), Chandigarh; Department of Biotechnology (DBT) India; Translational Health Science &amp; Technology Institute (THSTI); All India Institute of Medical Sciences (AIIMS) New Delhi; Post Graduate Institute of Medical Education &amp; Research (PGIMER), Chandigarh</t>
  </si>
  <si>
    <t>Haldar, S (corresponding author), Post Grad Inst Med Educ &amp; Res PGIMER, Chandigarh, India.</t>
  </si>
  <si>
    <t>sagarikahaldar.pgimer@gmail.com</t>
  </si>
  <si>
    <t>1472-9792</t>
  </si>
  <si>
    <t>10.1016/j.tube.2022.102213</t>
  </si>
  <si>
    <t>Immunology; Microbiology; Respiratory System</t>
  </si>
  <si>
    <t>WOS:000812837000002</t>
  </si>
  <si>
    <t>Keller, S; Ridinger, J; Rupp, AK; Janssen, JWG; Altevogt, P</t>
  </si>
  <si>
    <t>Keller, Sascha; Ridinger, Johannes; Rupp, Anne-Kathleen; Janssen, Johannes W. G.; Altevogt, Peter</t>
  </si>
  <si>
    <t>Body fluid derived exosomes as a novel template for clinical diagnostics</t>
  </si>
  <si>
    <t>TUMOR-GROWTH; MATERNAL PLASMA; FETAL DNA; CD24; BIOGENESIS; BIOMARKERS; CELLS; RNA; PROGRESSION; MECHANISM</t>
  </si>
  <si>
    <t>Background: Exosomes are small membrane vesicles with a size of 40-100 nm that are released by different cell types from a late endosomal cellular compartment. They can be found in various body fluids including plasma, malignant ascites, urine, amniotic fluid and saliva. Exosomes contain proteins, miRNAs and mRNAs (exosome shuttle RNA, esRNA) that could serve as novel platform for diagnosis. Method: We isolated exosomes from amniotic fluid, saliva and urine by differential centrifugation on sucrose gradients. Marker proteins were identified by Western blot and FACS analysis after adsorption of exosomes to latex beads. We extracted esRNA from exosomes, carried out RT-PCR, and analyzed amplified products by restriction length polymorphism. Results: Exosomes were positive for the marker proteins CD24, CD9, Annexin-1 and Hsp70 and displayed the correct buoyant density and orientation of antigens. In sucrose gradients the exosomal fractions contained esRNA that could be isolated with sufficient quantity for further analysis. EsRNAs were protected in exosomes from enzymatic degradation. Amniotic fluid esRNA served as template for the typing of the CD24 single nucleotide polymorphism (rs52812045). It also allowed sex determination of the fetus based on the detection of the male specific ZFY gene product. Conclusions: Our data demonstrate that exosomes from body fluids carry esRNAs which can be analyzed and offers access to the transcriptome of the host organism. The exosomal lipid bilayer protects the genetic information from degradation. As the isolation of exosomes is a minimally invasive procedure, this technique opens new possibilities for diagnostics.</t>
  </si>
  <si>
    <t>[Keller, Sascha; Ridinger, Johannes; Rupp, Anne-Kathleen; Altevogt, Peter] German Canc Res Ctr, Tumor Immunol Programme, D-69120 Heidelberg, Germany; [Janssen, Johannes W. G.] Univ Heidelberg, Dept Human Genet, D-69120 Heidelberg, Germany</t>
  </si>
  <si>
    <t>Helmholtz Association; German Cancer Research Center (DKFZ); Ruprecht Karls University Heidelberg</t>
  </si>
  <si>
    <t>Altevogt, P (corresponding author), German Canc Res Ctr, Tumor Immunol Programme, D015, D-69120 Heidelberg, Germany.</t>
  </si>
  <si>
    <t>P.Altevogt@dkfz.de</t>
  </si>
  <si>
    <t>JUN 8</t>
  </si>
  <si>
    <t>10.1186/1479-5876-9-86</t>
  </si>
  <si>
    <t>WOS:000291822700001</t>
  </si>
  <si>
    <t>Szatmari, T; Persa, E; Kis, E; Benedek, A; Hargitai, R; Safrany, G; Lumniczky, K</t>
  </si>
  <si>
    <t>Szatmari, Tunde; Persa, Eszter; Kis, Eniko; Benedek, Anett; Hargitai, Rita; Safrany, Geza; Lumniczky, Katalin</t>
  </si>
  <si>
    <t>Extracellular vesicles mediate low dose ionizing radiation-induced immune and inflammatory responses in the blood</t>
  </si>
  <si>
    <t>INTERNATIONAL JOURNAL OF RADIATION BIOLOGY</t>
  </si>
  <si>
    <t>DoReMi; low dose irradiation; extracellular vesicle; immune response; radiation-induced bystander effects; microRNA</t>
  </si>
  <si>
    <t>CANCER CELLS; UP-REGULATION; BONE-MARROW; DNA-DAMAGE; IN-VITRO; BYSTANDER; EXOSOMES; IRRADIATION; INDUCTION; APOPTOSIS</t>
  </si>
  <si>
    <t>Purpose: Radiation-induced bystander effects (RIBE) imply the involvement of complex signaling mechanisms, which can be mediated by extracellular vesicles (EVs). Using an in vivo model, we investigated EV-transmitted RIBE in blood plasma and radiation effects on plasma EV miRNA profiles. Materials and methods: C57Bl/6 mice were total-body irradiated with 0.1 and 2 Gy, bone marrow-derived EVs were isolated, and injected systemically into naive, 'bystander' animals. Proteome profiler antibody array membranes were used to detect alterations in plasma, both in directly irradiated and bystander mice. MiRNA profile of plasma EVs was determined by PCR array. Results: M-CSF and pentraxin-3 levels were increased in the blood of directly irradiated and bystander mice both after low and high dose irradiations, CXCL16 and lipocalin-2 increased after 2 Gy in directly irradiated and bystander mice, CCL5 and CCL11 changed in bystander mice only. Substantial overlap was found in the cellular pathways regulated by those miRNAs whose level were altered in EVs isolated from the plasma of mice irradiated with 0.1 and 2 Gy. Several of these pathways have already been associated with bystander responses. Conclusion: Low and high dose effects overlapped both in EV-mediated alterations in signaling pathways leading to RIBE and in their systemic manifestations.</t>
  </si>
  <si>
    <t>[Szatmari, Tunde; Persa, Eszter; Kis, Eniko; Benedek, Anett; Hargitai, Rita; Safrany, Geza; Lumniczky, Katalin] Natl Publ Hlth Inst, Dept Radiat Med, Div Radiobiol &amp; Radiohyg, Anna U 5, H-1221 Budapest, Hungary</t>
  </si>
  <si>
    <t>Lumniczky, K (corresponding author), Natl Publ Hlth Inst, Dept Radiat Med, Div Radiobiol &amp; Radiohyg, Anna U 5, H-1221 Budapest, Hungary.</t>
  </si>
  <si>
    <t>lumniczky.katalin@osski.hu</t>
  </si>
  <si>
    <t>Szatmári, Tünde/AAC-5808-2020; Lumniczky, Katalin/AAE-8961-2020</t>
  </si>
  <si>
    <t>Szatmári, Tünde/0000-0001-7727-9589; Lumniczky, Katalin/0000-0001-8661-1854</t>
  </si>
  <si>
    <t>0955-3002</t>
  </si>
  <si>
    <t>1362-3095</t>
  </si>
  <si>
    <t>NOV 20</t>
  </si>
  <si>
    <t>10.1080/09553002.2018.1450533</t>
  </si>
  <si>
    <t>Biology; Nuclear Science &amp; Technology; Radiology, Nuclear Medicine &amp; Medical Imaging</t>
  </si>
  <si>
    <t>Life Sciences &amp; Biomedicine - Other Topics; Nuclear Science &amp; Technology; Radiology, Nuclear Medicine &amp; Medical Imaging</t>
  </si>
  <si>
    <t>WOS:000456695400003</t>
  </si>
  <si>
    <t>Zhang, N; Sun, NR; Deng, CH</t>
  </si>
  <si>
    <t>Zhang, Ning; Sun, Nianrong; Deng, Chunhui</t>
  </si>
  <si>
    <t>Rapid isolation and proteome analysis of urinary exosome based on double interactions of Fe3O4@TiO2-DNA aptamer</t>
  </si>
  <si>
    <t>Exosomes; Isolation; Urine; Proteome analysis; Fe3O4@TiO2-CD63 aptamers</t>
  </si>
  <si>
    <t>EXTRACELLULAR VESICLES; CANCER EXOSOMES; CELLS; MICROVESICLES; DELIVERY; SIRNA</t>
  </si>
  <si>
    <t>There are accumulating evidence that proteins carried by exosomes in urine are most possibly used as biomarkers or therapeutic carriers for certain diseases. The isolation of exosomes is therefore highly desirable for aiding the downstream protein analysis. Particularly, urine is a dynamic biological fluid changing within a short time, resulting in that the separation of urinary exosome requires more efficient technology. Here, a new biocompatible material (denoted as Fe3O4@TiO2-CD63 aptamer) is designed and synthesized for rapid exosome isolation from human urine, depending on the double interactions of TiO2 with phosphate groups as well as aptamers with specific exosome proteins. Moreover, within 10 min, 92.6% exosomes with intact structure are captured from urine by Fe3O4@TiO2-CD63 aptamers, from which 999 proteins are detected through LC-MS/MS.</t>
  </si>
  <si>
    <t>[Zhang, Ning; Deng, Chunhui] Fudan Univ, Dept Chem, Shanghai 200433, Peoples R China; [Sun, Nianrong] Fudan Univ, Zhongshan Hosp, Dept Gastroenterol, Shanghai 200032, Peoples R China; [Deng, Chunhui] Fudan Univ, Inst Biomed Sci, Shanghai 200433, Peoples R China; [Deng, Chunhui] Fudan Univ, Collaborat Innovat Ctr Genet &amp; Dev, Shanghai 200433, Peoples R China</t>
  </si>
  <si>
    <t>Fudan University; Fudan University; Fudan University; Fudan University</t>
  </si>
  <si>
    <t>Deng, CH (corresponding author), Fudan Univ, Dept Chem, Shanghai 200433, Peoples R China.;Sun, NR (corresponding author), Fudan Univ, Zhongshan Hosp, Dept Gastroenterol, Shanghai 200032, Peoples R China.</t>
  </si>
  <si>
    <t>sunnianrong@fudan.edu.cn; chdeng@fudan.edu.cn</t>
  </si>
  <si>
    <t>Sun, Nianrong/0000-0003-1511-7116</t>
  </si>
  <si>
    <t>10.1016/j.talanta.2020.121571</t>
  </si>
  <si>
    <t>WOS:000579910600074</t>
  </si>
  <si>
    <t>Leal, AC; Mizurini, DM; Gomes, T; Rochael, NC; Saraiva, EM; Dias, MS; Werneck, CC; Sielski, MS; Vicente, CP; Monteiro, RQ</t>
  </si>
  <si>
    <t>Leal, Ana C.; Mizurini, Daniella M.; Gomes, Taina; Rochael, Natalia C.; Saraiva, Elvira M.; Dias, Marcos S.; Werneck, Claudio C.; Sielski, Micheli S.; Vicente, Cristina P.; Monteiro, Robson Q.</t>
  </si>
  <si>
    <t>Tumor-Derived Exosomes Induce the Formation of Neutrophil Extracellular Traps: Implications For The Establishment of Cancer-Associated Thrombosis</t>
  </si>
  <si>
    <t>PEPTIDYLARGININE DEIMINASE INHIBITION; HIGHLY PROCOAGULANT PATTERN; DEEP-VEIN THROMBOSIS; TISSUE FACTOR; INNATE IMMUNITY; VENOUS THROMBOSIS; PROMOTE; MICROPARTICLES; COAGULATION; MICROVESICLES</t>
  </si>
  <si>
    <t>Cancer patients are at an increased risk of developing thromboembolic complications. Several mechanisms have been proposed to explain cancer-associated thrombosis including the release of tumor-derived extracellular vesicles and the activation of host vascular cells. It was proposed that neutrophil extracellular traps (NETs) contribute to the prothrombotic phenotype in cancer. In this study, we evaluated the possible cooperation between tumor-derived exosomes and NETs in cancer-associated thrombosis. Female BALB/c mice were orthotopically injected with 4T1 breast cancer cells. The tumor-bearing animals exhibited increased levels of plasma DNA and myeloperoxidase in addition to significantly increased numbers of circulating neutrophils. Mice were subjected to either Rose Bengal/laser-induced venous thrombosis or ferric chloride-induced arterial thrombosis models. The tumor-bearing mice exhibited accelerated thrombus formation in both models compared to tumor-free animals. Treatment with recombinant human DNase 1 reversed the prothrombotic phenotype of tumor-bearing mice in both models. Remarkably, 4T1-derived exosomes induced NET formation in neutrophils from mice treated with granulocyte colony-stimulating factor (G-CSF). In addition, tumor-derived exosomes interacted with NETs under static conditions. Accordingly, the intravenous administration of 4T1-derived exosomes into G-CSF-treated mice significantly accelerated venous thrombosis in vivo. Taken together, our observations suggest that tumor-derived exosomes and neutrophils may act cooperatively in the establishment of cancer-associated thrombosis.</t>
  </si>
  <si>
    <t>[Leal, Ana C.; Mizurini, Daniella M.; Gomes, Taina; Monteiro, Robson Q.] Univ Fed Rio de Janeiro, Inst Med Biochem Leopoldo de Meis, Rio De Janeiro, Brazil; [Rochael, Natalia C.; Saraiva, Elvira M.] Univ Fed Rio de Janeiro, Inst Microbiol Paulo de Goes, Dept Immunol, Rio De Janeiro, RJ, Brazil; [Dias, Marcos S.] AC Camargo Canc Ctr, Int Res Ctr, Sao Paulo, Brazil; [Werneck, Claudio C.] Univ Estadual Campinas, Inst Biol, Dept Biochem &amp; Tissue Biol, Sao Paulo, Brazil; [Sielski, Micheli S.; Vicente, Cristina P.] Univ Estadual Campinas, Inst Biol, Dept Struct &amp; Funct Biol, Sao Paulo, Brazil</t>
  </si>
  <si>
    <t>Universidade Federal do Rio de Janeiro; Universidade Federal do Rio de Janeiro; A.C.Camargo Cancer Center; Universidade de Sao Paulo; Universidade Estadual de Campinas; Universidade de Sao Paulo; Universidade Estadual de Campinas</t>
  </si>
  <si>
    <t>Monteiro, RQ (corresponding author), Univ Fed Rio de Janeiro, Inst Med Biochem Leopoldo de Meis, Rio De Janeiro, Brazil.</t>
  </si>
  <si>
    <t>robsonqm@bioqmed.ufrj.br</t>
  </si>
  <si>
    <t>Gomes, Taina/G-1092-2018; de Queiroz Monteiro, Robson/M-7097-2019; Vicente, Cristina/D-8928-2012; Werneck, Claudio C/C-7568-2012; Saraiva, Elvira M/L-2864-2017; DE QUEIROZ MONTEIRO, ROBSON/B-8007-2014</t>
  </si>
  <si>
    <t>Gomes, Taina/0000-0003-3987-2490; de Queiroz Monteiro, Robson/0000-0002-5260-2332; Vicente, Cristina/0000-0001-9896-4630; Werneck, Claudio C/0000-0002-9413-0572; Saraiva, Elvira M/0000-0002-6388-5286; Severo Sielski, Micheli/0000-0002-6682-7954</t>
  </si>
  <si>
    <t>JUL 25</t>
  </si>
  <si>
    <t>10.1038/s41598-017-06893-7</t>
  </si>
  <si>
    <t>WOS:000406281400003</t>
  </si>
  <si>
    <t>Howe, CG; Foley, HB; Farzan, SF; Chavez, TA; Johnson, M; Meeker, JD; Bastain, TM; Marsit, CJ; Breton, CV</t>
  </si>
  <si>
    <t>Howe, Caitlin G.; Foley, Helen B.; Farzan, Shohreh F.; Chavez, Thomas A.; Johnson, Mark; Meeker, John D.; Bastain, Theresa M.; Marsit, Carmen J.; Breton, Carrie, V</t>
  </si>
  <si>
    <t>Urinary metals and maternal circulating extracellular vesicle microRNA in the MADRES pregnancy cohort</t>
  </si>
  <si>
    <t>EPIGENETICS</t>
  </si>
  <si>
    <t>Metals; mixtures; miRNA; extracellular vesicles; pregnancy</t>
  </si>
  <si>
    <t>GESTATIONAL DIABETES-MELLITUS; THALLIUM EXPOSURE; MULTIPLE METALS; DNA METHYLATION; PARTICULATE MATTER; MIRNA EXPRESSION; FETAL-GROWTH; HEAVY-METALS; R PACKAGE; ASSOCIATIONS</t>
  </si>
  <si>
    <t>Exposure to metals increases risk for pregnancy complications. Extracellular vesicle (EV) miRNA contribute to maternal-foetal communication and are dysregulated in pregnancy complications. However, metal impacts on maternal circulating EV miRNA during pregnancy are unknown. Our objective was to investigate the impact of multiple metal exposures on EV miRNA in maternal circulation during pregnancy in the MADRES Study. Associations between urinary concentrations of nine metals and 106 EV miRNA in maternal plasma during pregnancy were investigated using robust linear regression (N = 231). Primary analyses focused on metal-miRNA associations in early pregnancy (median: 12.3 weeks gestation). In secondary analyses, we investigated associations with late pregnancy miRNA counts (median: 31.8 weeks gestation) in a subset of participants (N = 184) with paired measures. MiRNA associated with three or more metals (P-FDR&lt;0.05) were further investigated using Bayesian Kernel Machine Regression (BKMR), an environmental mixture method. Thirty-five miRNA were associated (P-FDR&lt;0.05) with at least one metal in early pregnancy. One association (an inverse association between cobalt and miR-150-5p) remained statistically significant when evaluating late pregnancy miRNA counts. Eight miRNA (miR-302b-3p, miR-199a-5p, miR-188-5p, miR-138-5p, miR-212-3p, miR-608, miR-1272, miR-19b-3p) were associated with three metals (barium, mercury, and thallium) in early pregnancy, and their predicted target genes were enriched in pathways important for placental development. Results were consistent when using BKMR. Early pregnancy exposure to barium, mercury, and thallium may have short-term impacts on a common set of EV miRNA which target pathways important for placental development.</t>
  </si>
  <si>
    <t>[Howe, Caitlin G.] Dartmouth Coll, Geisel Sch Med, Dept Epidemiol, 1 Med Ctr Dr, Lebanon, NH 03756 USA; [Foley, Helen B.; Farzan, Shohreh F.; Chavez, Thomas A.; Johnson, Mark; Bastain, Theresa M.; Breton, Carrie, V] Univ Southern Calif, Dept Prevent Med, Keck Sch Med, Los Angeles, CA 90007 USA; [Meeker, John D.] Univ Michigan, Sch Publ Hlth, Dept Environm Hlth Sci, Ann Arbor, MI 48109 USA; [Marsit, Carmen J.] Emory Rollins Sch Publ Hlth, Gangarosa Dept Environm Hlth, Atlanta, GA USA; [Marsit, Carmen J.] Emory Rollins Sch Publ Hlth, Dept Epidemiol, Atlanta, GA USA</t>
  </si>
  <si>
    <t>Dartmouth College; University of Southern California; University of Michigan System; University of Michigan; Emory University; Rollins School Public Health; Emory University; Rollins School Public Health</t>
  </si>
  <si>
    <t>Howe, CG (corresponding author), Dartmouth Coll, Geisel Sch Med, Dept Epidemiol, 1 Med Ctr Dr, Lebanon, NH 03756 USA.</t>
  </si>
  <si>
    <t>caitlin.g.howe@dartmouth.edu</t>
  </si>
  <si>
    <t>Marsit, Carmen/0000-0003-4566-150X</t>
  </si>
  <si>
    <t>1559-2294</t>
  </si>
  <si>
    <t>1559-2308</t>
  </si>
  <si>
    <t>10.1080/15592294.2021.1994189</t>
  </si>
  <si>
    <t>Biochemistry &amp; Molecular Biology; Genetics &amp; Heredity</t>
  </si>
  <si>
    <t>WOS:000713054200001</t>
  </si>
  <si>
    <t>Nishimura, T; Oyama, T; Hu, HT; Fujioka, T; Hanawa-Suetsugu, K; Ikeda, K; Yamada, S; Kawana, H; Saigusa, D; Ikeda, H; Kurata, R; Oono-Yakura, K; Kitamata, M; Kida, K; Hikita, T; Mizutani, K; Yasuhara, K; Mimori-Kiyosue, Y; Oneyama, C; Kurimoto, K; Hosokawa, Y; Aoki, J; Takai, Y; Arita, M; Suetsugu, S</t>
  </si>
  <si>
    <t>Nishimura, Tamako; Oyama, Takuya; Hu, Hooi Ting; Fujioka, Toshifumi; Hanawa-Suetsugu, Kyoko; Ikeda, Kazutaka; Yamada, Sohei; Kawana, Hiroki; Saigusa, Daisuke; Ikeda, Hiroki; Kurata, Rie; Oono-Yakura, Kayoko; Kitamata, Manabu; Kida, Kazuki; Hikita, Tomoya; Mizutani, Kiyohito; Yasuhara, Kazuma; Mimori-Kiyosue, Yuko; Oneyama, Chitose; Kurimoto, Kazuki; Hosokawa, Yoichiroh; Aoki, Junken; Takai, Yoshimi; Arita, Makoto; Suetsugu, Shiro</t>
  </si>
  <si>
    <t>Filopodium-derived vesicles produced by MIM enhance the migration of recipient cells</t>
  </si>
  <si>
    <t>DEVELOPMENTAL CELL</t>
  </si>
  <si>
    <t>METASTASIS SUPPRESSOR GENE; MISSING-IN-METASTASIS; EXTRACELLULAR VESICLES; PULMONARY CAPILLARIES; PLASMA-MEMBRANE; HOMOLOGY DOMAIN; SHEDDING LIGHT; EXOSOMES; BAR; MICROVESICLES</t>
  </si>
  <si>
    <t>Extracellular vesicles (EVs) are classified as large EVs (l-EVs, or microvesicles) and small EVs (s-EVs, or exosomes). S-EVs are thought to be generated from endosomes through a process that mainly depends on the ESCRT protein complex, including ALG-2 interacting protein X (ALIX). However, the mechanisms of l-EV generation from the plasma membrane have not been identified. Membrane curvatures are generated by the bin-amphiphysin-rvs (BAR) family proteins, among which the inverse BAR (I-BAR) proteins are involved in filopodial protrusions. Here, we show that the I-BAR proteins, including missing in metastasis (MIM), generate l-EVs by scission of filopodia. Interestingly, MIM-containing l-EV production was promoted by in vivo equivalent external forces and by the suppression of ALIX, suggesting an alternative mechanism of vesicle formation to s-EVs. The MIM-dependent l-EVs contained lysophospholipids and proteins, including IRS4 and Rac1, which stimulated the migration of recipient cells through lamellipodia formation. Thus, these filopodia-dependent l-EVs, which we named as filopodia-derived vesicles (FDVs), modify cellular behavior.</t>
  </si>
  <si>
    <t>[Nishimura, Tamako; Oyama, Takuya; Hu, Hooi Ting; Fujioka, Toshifumi; Hanawa-Suetsugu, Kyoko; Kurata, Rie; Oono-Yakura, Kayoko; Kitamata, Manabu; Kida, Kazuki; Suetsugu, Shiro] Nara Inst Sci &amp; Technol, Div Biol Sci, Ikoma 6300192, Japan; [Ikeda, Kazutaka; Arita, Makoto] RIKEN Ctr Integrat Med Sci, Lab Metabol, Yokohama, Kanagawa 2300045, Japan; [Ikeda, Kazutaka; Arita, Makoto] Yokohama City Univ, Grad Sch Med Life Sci, Cellular &amp; Mol Epigenet Lab, Yokohama, Kanagawa 2300045, Japan; [Ikeda, Kazutaka] Kazusa DNA Res Inst, 2-6-7 Kazusa, Kisarazu, Chiba 2920818, Japan; [Yamada, Sohei; Yasuhara, Kazuma; Hosokawa, Yoichiroh] Nara Inst Sci &amp; Technol, Div Mat Sci, Ikoma 6300192, Japan; [Kawana, Hiroki; Aoki, Junken] Univ Tokyo, Grad Sch Pharmaceut Sci, Lab Hlth Chem, Bunkyo Ku, Tokyo 1130033, Japan; [Saigusa, Daisuke] Tohoku Univ, Tohoku Med Megabank Org, Aoba Ku, 2-1 Seiryo Machi, Sendai, Miyagi 9808573, Japan; [Ikeda, Hiroki; Kurimoto, Kazuki] Nara Med Univ, Dept Embryol, Kashihara, Nara 6340813, Japan; [Hikita, Tomoya; Oneyama, Chitose] Aichi Canc Ctr, Div Canc Cell Regulat, Res Inst, Chikusa Ku, 1-1 Kanokoden, Nagoya, Aichi 4648681, Japan; [Mizutani, Kiyohito; Takai, Yoshimi] Kobe Univ, Dept Biochem &amp; Mol Biol, Grad Sch Med, Kobe, Hyogo 6500047, Japan; [Mimori-Kiyosue, Yuko] RIKEN, Lab Mol &amp; Cellular Dynam, Ctr Biosyst Dynam Res, Chuo Ku, Minatojima Minaminachi, Kobe, Hyogo 6500047, Japan; [Arita, Makoto] Keio Univ, Grad Sch Pharmaceut Sci, Div Physiol Chem &amp; Metab, Tokyo 1050011, Japan; [Suetsugu, Shiro] Nara Inst Sci &amp; Technol, Data Sci Ctr, Ikoma 6300192, Japan; [Hanawa-Suetsugu, Kyoko] Doshisha Univ, Grad Sch Brain Sci, Kyotanabe, Kyoto 6100394, Japan; [Kitamata, Manabu] Tokyo Univ Pharm &amp; Life Sci, Lab Genome &amp; Biosignals, Sch Life Sci, 1432-1 Horinouchi, Hachioji, Tokyo 1920392, Japan</t>
  </si>
  <si>
    <t>Nara Institute of Science &amp; Technology; RIKEN; Yokohama City University; Kazusa DNA Research Institute; Nara Institute of Science &amp; Technology; University of Tokyo; Tohoku University; Nara Medical University; Aichi Cancer Center; Kobe University; RIKEN; Keio University; Nara Institute of Science &amp; Technology; Doshisha University; Tokyo University of Pharmacy &amp; Life Sciences</t>
  </si>
  <si>
    <t>Suetsugu, S (corresponding author), Nara Inst Sci &amp; Technol, Div Biol Sci, Ikoma 6300192, Japan.</t>
  </si>
  <si>
    <t>suetsugu@bs.naist.jp</t>
  </si>
  <si>
    <t>Suetsugu, Shiro/B-3300-2010; Suetsugu, Shiro/AAF-4427-2019</t>
  </si>
  <si>
    <t>Suetsugu, Shiro/0000-0002-4612-0628; Suetsugu, Shiro/0000-0002-4612-0628; Arita, Makoto/0000-0001-9902-0463; Yamada, Sohei/0000-0002-0503-2939</t>
  </si>
  <si>
    <t>1534-5807</t>
  </si>
  <si>
    <t>1878-1551</t>
  </si>
  <si>
    <t>MAR 22</t>
  </si>
  <si>
    <t>10.1016/j.devcel.2021.02.029</t>
  </si>
  <si>
    <t>WOS:000631681200012</t>
  </si>
  <si>
    <t>Huang, YJ; Cao, J; Lee, CY; Wu, YM</t>
  </si>
  <si>
    <t>Huang, Yu-Jen; Cao, Jerry; Lee, Chih-Yuan; Wu, Yao-Ming</t>
  </si>
  <si>
    <t>Umbilical cord blood plasma-derived exosomes as a novel therapy to reverse liver fibrosis</t>
  </si>
  <si>
    <t>STEM CELL RESEARCH &amp; THERAPY</t>
  </si>
  <si>
    <t>Cirrhosis; Exosomes; Hepatic stellate cells; Inhibitor of DNA binding 1</t>
  </si>
  <si>
    <t>HEPATIC STELLATE CELLS; MESENCHYMAL STEM-CELL; GROWTH; ID-1; DIFFERENTIATION; INSIGHTS; PATHWAY; SIGNAL; SERUM</t>
  </si>
  <si>
    <t>Background Cirrhosis is a chronic liver disease whereby scar tissue replaces healthy liver parenchyma, leading to disruption of the liver architecture and hepatic dysfunction. Currently, there is no effective disease-modifying therapy for liver fibrosis. Recently, our group demonstrated that human umbilical cord blood (UCB) plasma possesses therapeutic effects in a rat model of acute liver failure. Methods In the current study, we tested whether exosomes (Exo) existed in UCB plasma and if they produced any antifibrotic benefits in a liver fibrosis model. Results Our results showed that UCB-Exo improved liver function and increased matrix metalloproteinase/tissue inhibitor of metalloproteinase degradation to reduce the degree of fibrosis. Moreover, UCB-Exo were found to suppress hepatic stellate cell (HSC) activity in vitro. These effects were associated with suppression of transforming growth factor-beta/inhibitor of DNA binding 1 signaling. Conclusions These results further support that UCB-Exo have antifibrotic effects in mice with liver fibrosis and activated HSCs and may herald a new cell-free antifibrotic therapy.</t>
  </si>
  <si>
    <t>[Huang, Yu-Jen; Lee, Chih-Yuan; Wu, Yao-Ming] Natl Taiwan Univ Hosp, Dept Surg, 7 Chung Shan South Rd, Taipei, Taiwan; [Cao, Jerry] Wollongong Hosp, Dept Surg, Loftus St, Wollongong, NSW 2500, Australia; [Wu, Yao-Ming] Natl Taiwan Univ, Coll Med, 7 Chung Shan South Rd, Taipei, Taiwan</t>
  </si>
  <si>
    <t>National Taiwan University; National Taiwan University Hospital; Wollongong Hospital; National Taiwan University</t>
  </si>
  <si>
    <t>Wu, YM (corresponding author), Natl Taiwan Univ Hosp, Dept Surg, 7 Chung Shan South Rd, Taipei, Taiwan.;Wu, YM (corresponding author), Natl Taiwan Univ, Coll Med, 7 Chung Shan South Rd, Taipei, Taiwan.</t>
  </si>
  <si>
    <t>wyaoming@gmail.com</t>
  </si>
  <si>
    <t>WU, YAO-MING/0000-0002-1720-7863; Lee, Chih-Yuan/0000-0001-5034-3544</t>
  </si>
  <si>
    <t>1757-6512</t>
  </si>
  <si>
    <t>NOV 12</t>
  </si>
  <si>
    <t>10.1186/s13287-021-02641-x</t>
  </si>
  <si>
    <t>Cell &amp; Tissue Engineering; Cell Biology; Medicine, Research &amp; Experimental</t>
  </si>
  <si>
    <t>Cell Biology; Research &amp; Experimental Medicine</t>
  </si>
  <si>
    <t>WOS:000717992400003</t>
  </si>
  <si>
    <t>Cai, J; Guan, W; Tan, X; Chen, C; Li, L; Wang, N; Zou, X; Zhou, F; Wang, J; Pei, F; Chen, X; Luo, H; Wang, X; He, D; Zhou, L; Jose, PA; Zeng, C</t>
  </si>
  <si>
    <t>Cai, Jin; Guan, Weiwei; Tan, Xiaorong; Chen, Caiyu; Li, Liangpeng; Wang, Na; Zou, Xue; Zhou, Faying; Wang, Jialiang; Pei, Fang; Chen, Xinjian; Luo, Hao; Wang, Xinquan; He, Duofen; Zhou, Lin; Jose, Pedro A.; Zeng, Chunyu</t>
  </si>
  <si>
    <t>SRY gene transferred by extracellular vesicles accelerates atherosclerosis by promotion of leucocyte adherence to endothelial cells</t>
  </si>
  <si>
    <t>CLINICAL SCIENCE</t>
  </si>
  <si>
    <t>atherosclerosis; CD11-a; extracellular vesicles; gene copy number; ICAM-1; SRY</t>
  </si>
  <si>
    <t>HUMAN Y-CHROMOSOME; BLOOD-PRESSURE; MEDIATED TRANSFER; ASSOCIATION; EXOSOMES; DNA; MECHANISM; PROTEINS; ADHESION</t>
  </si>
  <si>
    <t>We set out to investigate whether and how SRY (sex-determining region, Y) DNAs in plasma EVs (extracellular vesicles) is involved in the pathogenesis of atherosclerosis. PCR and gene sequencing found the SRY gene fragment in plasma EVs from male, but not female, patients; EVs from male patients with CAD (coronary artery disease) had a higher SRY GCN (gene copy number) than healthy subjects. Additional studies found that leucocytes, the major source of plasma EVs, had higher SRY GCN and mRNA and protein expression in male CAD patients than controls. After incubation with EVs from SRY-transfected HEK (human embryonic kidney)-293 cells, monocytes (THP-1) and HUVECs (human umbilical vein endothelial cells), which do not endogenously express SRY protein, were found to express newly synthesized SRY protein. This resulted in an increase in the adherence factors CD11-a in THP-1 cells and ICAM-1 (intercellular adhesion molecule 1) in HUVECs. EMSA showed that SRY protein increased the promoter activity of CD11-a in THP-1 cells and ICAM-1 in HUVECs. There was an increase in THP-1 cells adherent to HUVECs after incubation with SRY-EVs. SRY DNAs transferred from EVs have pathophysiological significance in vivo; injection of SRY EVs into ApoE(-/-) (apolipoprotein-knockout) mice accelerated atherosclerosis. The SRY gene in plasma EVs transferred to vascular endothelial cells may play an important role in the pathogenesis of atherosclerosis; this mechanism provides a new approach to the understanding of inheritable CAD in men.</t>
  </si>
  <si>
    <t>[Cai, Jin; Guan, Weiwei; Tan, Xiaorong; Chen, Caiyu; Li, Liangpeng; Wang, Na; Zou, Xue; Zhou, Faying; Wang, Jialiang; Pei, Fang; Chen, Xinjian; Luo, Hao; Wang, Xinquan; He, Duofen; Zhou, Lin; Zeng, Chunyu] Third Mil Med Univ, Daping Hosp, Dept Cardiol, Chongqing 400042, Peoples R China; [Jose, Pedro A.] Univ Maryland, Div Nephrol, Dept Physiol &amp; Med, Sch Med, Baltimore, MD 21201 USA</t>
  </si>
  <si>
    <t>Army Medical University; University System of Maryland; University of Maryland Baltimore</t>
  </si>
  <si>
    <t>Zeng, C (corresponding author), Third Mil Med Univ, Daping Hosp, Dept Cardiol, Chongqing 400042, Peoples R China.</t>
  </si>
  <si>
    <t>linzhou65@hotmail.com; Chunyuzeng01@163.com</t>
  </si>
  <si>
    <t>0143-5221</t>
  </si>
  <si>
    <t>1470-8736</t>
  </si>
  <si>
    <t>10.1042/CS20140826</t>
  </si>
  <si>
    <t>WOS:000355144700004</t>
  </si>
  <si>
    <t>Kwok, HH; Ning, ZY; Chong, PWC; Wan, TSK; Ng, MHL; Ho, GYF; Ip, MSM; Lam, DCL</t>
  </si>
  <si>
    <t>Kwok, Hoi-Hin; Ning, Ziyu; Chong, Peony Wing-Chi; Wan, Thomas Shek-Kong; Ng, Margaret Heung-Ling; Ho, Gloria Y. F.; Ip, Mary Sau-Man; Lam, David Chi-Leung</t>
  </si>
  <si>
    <t>Transfer of Extracellular Vesicle-Associated-RNAs Induces Drug Resistance in ALK-Translocated Lung Adenocarcinoma</t>
  </si>
  <si>
    <t>extracellular vesicles; TKI-resistance; anaplastic lymphoma kinase; non-small cell lung cancer; intratumoural heterogeneity</t>
  </si>
  <si>
    <t>OPEN-LABEL; CANCER; EXOSOMES; GENE; METASTASIS; EXPRESSION; SERUM; MIRNA; KRAS; DNA</t>
  </si>
  <si>
    <t>Anaplastic lymphoma kinase (ALK) translocation is an actionable mutation in lung adenocarcinoma. Nonetheless tumour consists of heterogeneous cell subpopulations with diverse phenotypes and genotypes, and cancer cells can actively release extracellular vesicles (EVs) to modulate the phenotype of other cells in the tumour microenvironment. We hypothesized that EVs derived from a drug-resistant subpopulation of cells could induce drug resistance in recipient cells. We have established ALK-translocated lung adenocarcinoma cell lines and subclones. The subclones have been characterized and the expression of EV-RNAs determined by quantitative polymerase chain reaction. The effects of EV transfer on drug resistance were examined in vitro. Serum EV-RNA was assayed serially in two patients prescribed ALK-tyrosine kinase inhibitor (ALK-TKI) treatment. We demonstrated that the EVs from an ALK-TKI-resistant subclone could induce drug resistance in the originally sensitive subclone. EV-RNA profiling revealed that miRNAs miR-21-5p and miR-486-3p, and lncRNAs MEG3 and XIST were differentially expressed in the EVs secreted by the resistant subclones. These circulating EV-RNA levels have been found to correlate with disease progression of EML4-ALK-translocated lung adenocarcinoma in patients prescribed ALK-TKI treatment. The results from this study suggest that EVs released by a drug-resistant subpopulation can induce drug resistance in other subpopulations and may sustain intratumoural heterogeneity.</t>
  </si>
  <si>
    <t>[Kwok, Hoi-Hin; Ning, Ziyu; Chong, Peony Wing-Chi; Ip, Mary Sau-Man; Lam, David Chi-Leung] Univ Hong Kong, Li Ka Shing Fac Med, Dept Med, Hong Kong, Peoples R China; [Wan, Thomas Shek-Kong; Ng, Margaret Heung-Ling] Chinese Univ Hong Kong, Dept Anat &amp; Cellular Pathol, Fac Med, Hong Kong, Peoples R China; [Ho, Gloria Y. F.] Hofstra Northwell Sch Med, Feinstein Inst Med Res, Dept Occupat Med Epidemiol &amp; Prevent, New York, NY 11021 USA</t>
  </si>
  <si>
    <t>University of Hong Kong; Chinese University of Hong Kong; Northwell Health</t>
  </si>
  <si>
    <t>Lam, DCL (corresponding author), Univ Hong Kong, Li Ka Shing Fac Med, Dept Med, Hong Kong, Peoples R China.</t>
  </si>
  <si>
    <t>kwokh@hku.hk; chloening2014@hotmail.com; peonyki@hku.hk; wantsk@hku.hk; msmip@hku.hk; gloria_ho4@hotmail.com; msmip@hku.hk; dcllam@hku.hk</t>
  </si>
  <si>
    <t>Wan, Thomas/AAY-7075-2020; Kwok, Hoi-Hin/AAA-8685-2019; Lam, David/AAI-3657-2020; /E-9868-2010</t>
  </si>
  <si>
    <t>/0000-0002-0004-2660; Ning, Ziyu/0000-0001-7183-5281; Kwok, Hoi-Hin/0000-0002-6902-8402</t>
  </si>
  <si>
    <t>10.3390/cancers11010104</t>
  </si>
  <si>
    <t>WOS:000457233300042</t>
  </si>
  <si>
    <t>Trotta, T; Panaro, MA; Cianciulli, A; Mori, G; Di Benedetto, A; Porro, C</t>
  </si>
  <si>
    <t>Trotta, Teresa; Panaro, Maria Antonietta; Cianciulli, Antonia; Mori, Giorgio; Di Benedetto, Adriana; Porro, Chiara</t>
  </si>
  <si>
    <t>Microglia-derived extracellular vesicles in Alzheimer's Disease: A double-edged sword</t>
  </si>
  <si>
    <t>BIOCHEMICAL PHARMACOLOGY</t>
  </si>
  <si>
    <t>EVs; Microglia; Alzheimer's Disease; Neuroinflammation; Neurodegeneration; Biomarkers</t>
  </si>
  <si>
    <t>MILD COGNITIVE IMPAIRMENT; MESENCHYMAL STROMAL CELLS; EXOSOME-MEDIATED TRANSFER; TRANSGENIC MOUSE MODELS; AMYLOID BETA-PROTEIN; CIRCULATING MICROPARTICLES; CEREBROSPINAL-FLUID; PROTEOMIC ANALYSIS; MYELOID MICROVESICLES; SUPEROXIDE-DISMUTASE</t>
  </si>
  <si>
    <t>Extracellular vesicles (EVs), based on their origin or size, can be classified as apoptotic bodies, microvesides (MVs)/microparticles (MPS), and exosomes. EVs are one of the new emerging modes of communication between cells that are providing new insights into the pathophysiology of several diseases. EVs released from activated or apoptotic cells contain specific proteins (signaling molecules, receptors, integrins, cytokines), bioactive lipids, nucleic acids (mRNA, miRNA, small non coding RNAs, DNA) from their progenitor cells. In the brain, EVs contribute to intercellular communication through their basal release and uptake by surrounding cells, or release into the cerebrospinal fluid (CSF) and blood. In the central nervous system (CNS), EVs have been suggested as potential carriers in the intercellular delivery of misfolded proteins associated to neurodegenerative disorders, such as tau and amyloid beta in Alzheimer's Disease (AD), alpha-synuclein in Parkinson's Disease (PD), superoxide dismutase (SOD)1 in amyotrophic lateral sclerosis and huntingtin in Huntington's Disease. Multiple studies indicate that EVs are involved in the pathogenesis of AD, although their role has not been completely elucidated. The focus of this review is to analyze the new emerging role of EVs in AD progression, paying particular attention to microglia EVs. Recent data show that microglia are the first myeloid cells to be activated during neuroinflammation. Microglial EVs in fact, could have both a beneficial and a detrimental action in AD. The study of EVs may provide specific, precise information regarding the AD transition stage that may offer possibilities to intervene in order to retain cognition. In chronic neurodegenerative diseases EVs could be a novel biomarker to monitor the progression of the pathology and also represent a new therapeutical approach to CNS diseases. (C) 2018 Elsevier Inc. All rights reserved.</t>
  </si>
  <si>
    <t>[Trotta, Teresa; Mori, Giorgio; Di Benedetto, Adriana; Porro, Chiara] Univ Foggia, Dept Clin &amp; Expt Med, Foggia, Italy; [Panaro, Maria Antonietta; Cianciulli, Antonia] Univ Bari, Dept Biosci Biotechnol &amp; Biopharmaceut, Bari, Italy</t>
  </si>
  <si>
    <t>University of Foggia; Universita degli Studi di Bari Aldo Moro</t>
  </si>
  <si>
    <t>Porro, C (corresponding author), Univ Foggia, Dept Clin &amp; Expt Med, Foggia, Italy.</t>
  </si>
  <si>
    <t>chiara.porro@unifg.it</t>
  </si>
  <si>
    <t>Porro, Chiara/G-7849-2018; Mori, Giorgio/P-1370-2014</t>
  </si>
  <si>
    <t>Porro, Chiara/0000-0002-7526-6968; Mori, Giorgio/0000-0001-6731-0247</t>
  </si>
  <si>
    <t>0006-2952</t>
  </si>
  <si>
    <t>1873-2968</t>
  </si>
  <si>
    <t>10.1016/j.bcp.2017.12.020</t>
  </si>
  <si>
    <t>WOS:000426141200016</t>
  </si>
  <si>
    <t>Svennerholm, K; Rodsand, P; Hellman, U; Waldenstrom, A; Lundholm, M; Ahren, D; Biber, B; Ronquist, G; Haney, M</t>
  </si>
  <si>
    <t>Svennerholm, Kristina; Rodsand, Pouria; Hellman, Urban; Waldenstrom, Anders; Lundholm, Marie; Ahren, Dag; Biber, Bjorn; Ronquist, Gunnar; Haney, Michael</t>
  </si>
  <si>
    <t>DNA Content in Extracellular Vesicles Isolated from Porcine Coronary Venous Blood Directly after Myocardial Ischemic Preconditioning</t>
  </si>
  <si>
    <t>MEDIATED TRANSFER; GENOMIC DNA; EXOSOMES; PROSTASOMES; MECHANISM; CELLS; HEART; LEADS</t>
  </si>
  <si>
    <t>Background Extracellular vesicles (EV) are nano-sized membranous structures released from most cells. They have the capacity to carry bioactive molecules and gene expression signals between cells, thus mediating intercellular communication. It is believed that EV confer protection after ischemic preconditioning (IPC). We hypothesize that myocardial ischemic preconditioning will lead to rapid alteration of EV DNA content in EV collected from coronary venous effluent. Materials and Methods In a porcine myocardial ischemic preconditioning model, EV were isolated from coronary venous blood before and after IPC by differential centrifugation steps culminating in preparative ultracentrifugation combined with density gradient ultracentrifugation. The EV preparation was validated, the DNA was extracted and further characterized by DNA sequencing followed by bioinformatics analysis. Results Porcine genomic DNA fragments representing each chromosome, including mitochondrial DNA sequences, were detected in EV isolated before and after IPC. There was no difference detected in the number of sequenced gene fragments (reads) or in the genomic coverage of the sequenced DNA fragments in EV isolated before and after IPC. Gene ontology analysis showed an enrichment of genes coding for ion channels, enzymes and proteins for basal metabolism and vesicle biogenesis and specific cardiac proteins. Conclusions This study demonstrates that porcine EV isolated from coronary venous blood plasma contain fragments of DNA from the entire genome, including the mitochondria. In this model we did not find specific qualitative or quantitative changes of the DNA content in EV collected immediately after an in vivo myocardial IPC provocation. This does not rule out the possibility that EV DNA content changes in response to myocardial IPC which could occur in a later time frame.</t>
  </si>
  <si>
    <t>[Svennerholm, Kristina; Biber, Bjorn] Univ Gothenburg, Sahlgrenska Acad, Inst Clin Sci, Anesthesiol &amp; Intens Care Med, Gothenburg, Sweden; [Rodsand, Pouria; Haney, Michael] Umea Univ, Inst Surg &amp; Perioperat Sci, Anesthesiol &amp; Intens Care Med, Umea, Sweden; [Hellman, Urban; Waldenstrom, Anders] Umea Univ, Cardiol, Inst Heart Ctr, Umea, Sweden; [Hellman, Urban; Waldenstrom, Anders] Umea Univ, Dept Publ Hlth &amp; Clin Med, Med, Umea, Sweden; [Lundholm, Marie] Umea Univ, Inst Med Biosci, Pathol, Umea, Sweden; [Ahren, Dag] Lund Univ, Inst Biol, Natl Bioinformat Infrastruct Sweden, Lund, Sweden; [Ronquist, Gunnar] Uppsala Univ, Inst Med Sci, Clin Chem, Uppsala, Sweden</t>
  </si>
  <si>
    <t>University of Gothenburg; Umea University; Umea University; Umea University; Umea University; Lund University; Uppsala University</t>
  </si>
  <si>
    <t>Svennerholm, K (corresponding author), Univ Gothenburg, Sahlgrenska Acad, Inst Clin Sci, Anesthesiol &amp; Intens Care Med, Gothenburg, Sweden.</t>
  </si>
  <si>
    <t>Kristina.svennerholm@vgregion.se</t>
  </si>
  <si>
    <t>JUL 19</t>
  </si>
  <si>
    <t>e0159105</t>
  </si>
  <si>
    <t>10.1371/journal.pone.0159105</t>
  </si>
  <si>
    <t>WOS:000380169600033</t>
  </si>
  <si>
    <t>Chen, JG; Xu, YC; Wang, X; Liu, DC; Yang, F; Zhu, XR; Lu, Y; Xing, WL</t>
  </si>
  <si>
    <t>Chen, Junge; Xu, Youchun; Wang, Xun; Liu, Dongchen; Yang, Fan; Zhu, Xiurui; Lu, Ying; Xing, Wanli</t>
  </si>
  <si>
    <t>Rapid and efficient isolation and detection of extracellular vesicles from plasma for lung cancer diagnosis</t>
  </si>
  <si>
    <t>EXOSOME ISOLATION; BIOMARKERS; BLOOD; CELLS; SIZE; DNA; MICROVESICLES; SEPARATION; MULTIPLEX; SURVIVAL</t>
  </si>
  <si>
    <t>Extracellular vesicles (EVs) are cell-derived nanoscale vesicles that provide promising biomarkers for the non-invasive diagnosis of cancer because they carry important cancer-related DNA, RNA and protein biomarkers. However, the clinical application of EVs is limited by tedious and non-standardized isolation methods that require bulky instrumentation. Here, we propose an easy-to-operate, simple dielectrophoretic (DEP) method for EV isolation with higher recovery efficiency (&gt;83%) and higher purity than ultracentrifugation (UC). The DEP chip reduces the isolation procedure from 8 h to 30 min. To facilitate subsequent analysis, our DEP chip achieved integration of EV isolation and in situ lysis of EVs for the first time. Our chip also achieved on-chip siRNA delivery to EVs isolated by DEP. We found that EVs isolated from the plasma of lung cancer patients contained higher levels of miR-21, miR-191 and miR-192 compared to those from healthy people. With on-chip detection, EGFR in EVs could distinguish lung cancer patients from healthy people. Overall, this study provides an efficient and practical approach to the isolation and detection of EVs, which could be used for the early diagnosis of lung cancer.</t>
  </si>
  <si>
    <t>[Chen, Junge; Xu, Youchun; Liu, Dongchen; Zhu, Xiurui; Lu, Ying; Xing, Wanli] Tsinghua Univ, Sch Med, Beijing 100084, Peoples R China; [Xu, Youchun; Lu, Ying] Collaborat Innovat Ctr Diag &amp; Treatment Infect Di, Hangzhou 310003, Zhejiang, Peoples R China; [Wang, Xun; Yang, Fan] Peking Univ, Peoples Hosp, Thorac Surg, Beijing 100044, Peoples R China; [Lu, Ying; Xing, Wanli] Natl Engn Res Ctr Beijing Biochip Technol, Beijing 102206, Peoples R China</t>
  </si>
  <si>
    <t>Tsinghua University; Peking University</t>
  </si>
  <si>
    <t>Xing, WL (corresponding author), Tsinghua Univ, Sch Med, Beijing 100084, Peoples R China.;Xing, WL (corresponding author), Natl Engn Res Ctr Beijing Biochip Technol, Beijing 102206, Peoples R China.</t>
  </si>
  <si>
    <t>wlxing@tsinghua.edu.cn</t>
  </si>
  <si>
    <t>FEB 7</t>
  </si>
  <si>
    <t>10.1039/c8lc01193a</t>
  </si>
  <si>
    <t>WOS:000459726100003</t>
  </si>
  <si>
    <t>Hough, KP; Trevor, JL; Strenkowski, JG; Wang, Y; Chacko, BK; Tousif, S; Chanda, D; Steele, C; Antony, VB; Dokland, T; Ouyang, XS; Zhang, JH; Duncan, SR; Thannickal, VJ; Darley-Usmar, VM; Deshane, JS</t>
  </si>
  <si>
    <t>Hough, Kenneth P.; Trevor, Jennifer L.; Strenkowski, John G.; Wang, Yong; Chacko, Balu K.; Tousif, Sultan; Chanda, Diptiman; Steele, Chad; Antony, Veena B.; Dokland, Terje; Ouyang, Xiaosen; Zhang, Jianhua; Duncan, Steven R.; Thannickal, Victor J.; Darley-Usmar, Victor M.; Deshane, Jessy S.</t>
  </si>
  <si>
    <t>Exosomal transfer of mitochondria from airway myeloid-derived regulatory cells to T cells</t>
  </si>
  <si>
    <t>REDOX BIOLOGY</t>
  </si>
  <si>
    <t>Exosomes; Mitochondria; Asthma; Myeloid-derived; Derived Regulatory Cells</t>
  </si>
  <si>
    <t>MESENCHYMAL STEM-CELLS; OBSTRUCTIVE PULMONARY-DISEASE; LAVAGE FLUID EXOSOMES; SMOOTH-MUSCLE; EXTRACELLULAR VESICLES; TUNNELING NANOTUBES; ASTHMATIC-PATIENTS; OXIDATIVE STRESS; EPITHELIAL-CELLS; DENDRITIC CELLS</t>
  </si>
  <si>
    <t>Chronic inflammation involving both innate and adaptive immune cells is implicated in the pathogenesis of asthma. Intercellular communication is essential for driving and resolving inflammatory responses in asthma. Emerging studies suggest that extracellular vesicles (EVs) including exosomes facilitate this process. In this report, we have used a range of approaches to show that EVs contain markers of mitochondria derived from donor cells which are capable of sustaining a membrane potential. Further, we propose that these participate in intercellular communication within the airways of human subjects with asthma. Bronchoalveolar lavage fluid of both healthy volunteers and asthmatics contain EVs with encapsulated mitochondria; however, the % HLA-DR+ EVs containing mitochondria and the levels of mitochondrial DNA within EVs were significantly higher in asthmatics. Furthermore, mitochondria are present in exosomes derived from the pro-inflammatory HLA-DR+ subsets of airway myeloid-derived regulatory cells (MDRCs), which are known regulators of T cell responses in asthma. Exosomes tagged with MitoTracker Green, or derived from MDRCs transduced with CellLight Mitochondrial GFP were found in recipient peripheral T cells using a co-culture system, supporting direct exosome-mediated cell-cell transfer. Importantly, exosomally transferred mitochondria co-localize with the mitochondrial network and generate reactive oxygen species within recipient T cells. These findings support a potential novel mechanism of cell-cell communication involving exosomal transfer of mitochondria and the bioenergetic and/or redox regulation of target cells.</t>
  </si>
  <si>
    <t>[Hough, Kenneth P.; Trevor, Jennifer L.; Strenkowski, John G.; Wang, Yong; Tousif, Sultan; Chanda, Diptiman; Steele, Chad; Antony, Veena B.; Duncan, Steven R.; Thannickal, Victor J.; Deshane, Jessy S.] Univ Alabama Birmingham, Dept Med, Div Pulm Allergy &amp; Crit Care Med, THT 433A,1900 Univ Blvd, Birmingham, AL 35294 USA; [Dokland, Terje] Univ Alabama Birmingham, Dept Microbiol, Birmingham, AL 35294 USA; [Chacko, Balu K.; Ouyang, Xiaosen; Zhang, Jianhua; Darley-Usmar, Victor M.] Univ Alabama Birmingham, Dept Pathol, Mitochondrial Med Lab, Birmingham, AL 35294 USA; [Steele, Chad] Tulane Univ, Sch Med, Dept Microbiol &amp; Immunol, New Orleans, LA 70112 USA</t>
  </si>
  <si>
    <t>University of Alabama System; University of Alabama Birmingham; University of Alabama System; University of Alabama Birmingham; University of Alabama System; University of Alabama Birmingham; Tulane University</t>
  </si>
  <si>
    <t>Deshane, JS (corresponding author), Univ Alabama Birmingham, Dept Med, Div Pulm Allergy &amp; Crit Care Med, THT 433A,1900 Univ Blvd, Birmingham, AL 35294 USA.</t>
  </si>
  <si>
    <t>csteele4@tulane.edu; jessydeshane@uabmc.edu</t>
  </si>
  <si>
    <t>Tousif, Sultan/0000-0001-6174-6541; Dokland, Terje/0000-0001-5655-4123; Darley-Usmar, Victor/0000-0001-8921-7086; Hough, Kenneth/0000-0002-8446-0084</t>
  </si>
  <si>
    <t>2213-2317</t>
  </si>
  <si>
    <t>10.1016/j.redox.2018.06.009</t>
  </si>
  <si>
    <t>WOS:000447820100007</t>
  </si>
  <si>
    <t>Wu, XH; Ma, MJ; Wang, P; Xie, ZY; Wang, S; Su, HJ; Deng, W; Feng, P; Su, CY; Yang, JW; Li, JT; Tang, SA; Wu, YF; Shen, HY</t>
  </si>
  <si>
    <t>Wu, Xiaohua; Ma, Mengjun; Wang, Peng; Xie, Zhongyu; Wang, Shan; Su, Hongjun; Deng, Wen; Feng, Pei; Su, Chunyan; Yang, Jiewen; Li, Jinteng; Tang, Su'an; Wu, Yanfeng; Shen, Huiyong</t>
  </si>
  <si>
    <t>2-HS Glycoprotein in Plasma Extracellular Vesicles Inhibits the Osteogenic Differentiation of Human Mesenchymal Stromal Cells In Vitro</t>
  </si>
  <si>
    <t>STEM CELLS INTERNATIONAL</t>
  </si>
  <si>
    <t>HUMAN BONE-MARROW; STEM-CELLS; FETUIN-A; PROTEIN; EXOSOMES; SERUM; GROWTH; MECHANISMS; PROTEOMICS; CALCIUM</t>
  </si>
  <si>
    <t>Extracellular vesicles (Evs) contain diverse functional proteins, mRNAs, miRNAs, and DNA fragments, are secreted by various types of cells, and play important roles in cellular communication. Here, we show for the first time that plasma Evs inhibited the osteogenic differentiation of mesenchymal stromal cells (MSCs) in vitro and the level of inhibition was positively correlated with the plasma Evs concentration. Plasma Evs downregulated the expression of markers such as osteocalcin (OCN), Runt-related transcription factor 2 (Runx2), and Osterix at mRNA levels required for osteogenic differentiation and reduced pSmad1/5/8 levels in MSCs. Furthermore, pSmad1/5/8 levels increased and MSCs underwent normal osteogenic differentiation after Evs-derived 2-HS glycoprotein (AHSG) function was inhibited with an anti-AHSG neutralizing antibody. However, the levels of pERK1/2, active -catenin, and HES1 were not significantly altered. Therefore, we propose that as essential components of the extracellular microenvironment of MSCs, plasma Evs are taken up by MSCs and subsequently repress osteogenic differentiation through an AHSG-mediated decrease in pSmad1/5/8 levels. Our work identifies plasma Evs as novel regulators of MSC osteogenic differentiation.</t>
  </si>
  <si>
    <t>[Wu, Xiaohua; Wang, Shan; Su, Hongjun; Deng, Wen; Feng, Pei; Su, Chunyan; Yang, Jiewen; Wu, Yanfeng] Sun Yat Sen Univ, Sun Yat Sen Mem Hosp, Ctr Biotherapy, 107 Yan Jiang West Rd, Guangzhou 510120, Guangdong, Peoples R China; [Ma, Mengjun; Wang, Peng; Xie, Zhongyu; Li, Jinteng; Tang, Su'an; Shen, Huiyong] Sun Yat Sen Univ, Sun Yat Sen Mem Hosp, Dept Orthoped, 107 Yan Jiang West Rd, Guangzhou 510120, Guangdong, Peoples R China</t>
  </si>
  <si>
    <t>Sun Yat Sen University; Sun Yat Sen University</t>
  </si>
  <si>
    <t>Wu, YF (corresponding author), Sun Yat Sen Univ, Sun Yat Sen Mem Hosp, Ctr Biotherapy, 107 Yan Jiang West Rd, Guangzhou 510120, Guangdong, Peoples R China.;Shen, HY (corresponding author), Sun Yat Sen Univ, Sun Yat Sen Mem Hosp, Dept Orthoped, 107 Yan Jiang West Rd, Guangzhou 510120, Guangdong, Peoples R China.</t>
  </si>
  <si>
    <t>wuyanfengcn@126.com; shenhuiy@yeah.net</t>
  </si>
  <si>
    <t>Xie, Zhongyu/V-6518-2019</t>
  </si>
  <si>
    <t>1687-966X</t>
  </si>
  <si>
    <t>1687-9678</t>
  </si>
  <si>
    <t>10.1155/2019/7246479</t>
  </si>
  <si>
    <t>Cell &amp; Tissue Engineering</t>
  </si>
  <si>
    <t>WOS:000459102500001</t>
  </si>
  <si>
    <t>Di Bonito, P; Chiozzini, C; Arenaccio, C; Anticoli, S; Manfredi, F; Olivetta, E; Ferrantelli, F; Falcone, E; Ruggieri, A; Federico, M</t>
  </si>
  <si>
    <t>Di Bonito, Paola; Chiozzini, Chiara; Arenaccio, Claudia; Anticoli, Simona; Manfredi, Francesco; Olivetta, Eleonora; Ferrantelli, Flavia; Falcone, Emiliana; Ruggieri, Anna; Federico, Maurizio</t>
  </si>
  <si>
    <t>Antitumor HPV E7-specific CTL activity elicited by in vivo engineered exosomes produced through DNA inoculation</t>
  </si>
  <si>
    <t>nanovesicles; cytotoxic T lymphocytes; HIV-1 Nef; DNA vectors</t>
  </si>
  <si>
    <t>B16BL6-DERIVED EXOSOMES; CELLS; IDENTIFICATION; CLEARANCE; VESICLES; HIV-1</t>
  </si>
  <si>
    <t>We recently proved that exosomes engineered in vitro to deliver high amounts of HPV E7 upon fusion with the Nef(mut) exosome-anchoring protein elicit an efficient anti-E7 cytotoxic T lymphocyte immune response. However, in view of a potential clinic application of this finding, our exosome-based immunization strategy was faced with possible technical difficulties including industrial manufacturing, cost of production, and storage. To overcome these hurdles, we designed an as yet unproven exosome-based immunization strategy relying on delivery by intramuscular inoculation of a DNA vector expressing Nef(mut) fused with HPV E7. In this way, we predicted that the expression of the Nef(mut)/E7 vector in muscle cells would result in a continuous source of endogenous (ie, produced by the inoculated host) engineered exosomes able to induce an E7-specific immune response. To assess this hypothesis, we first demonstrated that the injection of a Nef(mut)/green fluorescent protein-expressing vector led to the release of fluorescent exosomes, as detected in plasma of inoculated mice. Then, we observed that mice inoculated intramuscularly with a vector expressing Nef(mut)/E7 developed a CD8(+) T-cell immune response against both Nef and E7. Conversely, no CD8(+) T-cell responses were detected upon injection of vectors expressing either the wild-type Nef isoform of E7 alone, most likely a consequence of their inefficient exosome incorporation. The production of immunogenic exosomes in the DNA-injected mice was formally demonstrated by the E7-specific CD8(+) T-cell immune response we detected in mice inoculated with exosomes isolated from plasma of mice inoculated with the Nef(mut)/E7 vector. Finally, we provide evidence that the injection of Nef(mut)/E7 DNA led to the generation of effective antigen-specific cytotoxic T lymphocytes whose activity was likely part of the potent, therapeutic antitumor effect we observed in mice implanted with TC-1 tumor cells. In summary, we established a novel method to generate immunogenic exosomes in vivo by the intramuscular inoculation of DNA vectors expressing the exosome-anchoring protein Nef(mut) and its derivatives.</t>
  </si>
  <si>
    <t>[Di Bonito, Paola] Ist Super Sanita, Dept Infect Parasit &amp; Immunomediated Dis, Rome, Italy; [Chiozzini, Chiara; Arenaccio, Claudia; Anticoli, Simona; Manfredi, Francesco; Olivetta, Eleonora; Ferrantelli, Flavia; Federico, Maurizio] Ist Super Sanita, Natl AIDS Ctr, Viale Regina Elena 299, I-00161 Rome, Italy; [Falcone, Emiliana; Ruggieri, Anna] Ist Super Sanita, Dept Vet Publ Hlth &amp; Food Safety, Rome, Italy</t>
  </si>
  <si>
    <t>Istituto Superiore di Sanita (ISS); Istituto Superiore di Sanita (ISS); Istituto Superiore di Sanita (ISS)</t>
  </si>
  <si>
    <t>Federico, M (corresponding author), Ist Super Sanita, Natl AIDS Ctr, Viale Regina Elena 299, I-00161 Rome, Italy.</t>
  </si>
  <si>
    <t>maurizio.federico@iss.it</t>
  </si>
  <si>
    <t>Olivetta, Eleonora/N-5736-2017; Anticoli, Simona/AAH-8838-2021; Di Bonito, Paola/AAI-3583-2021; Manfredi, Francesco/ABA-7166-2021; Anticoli, Simona/M-9940-2017; Ferrantelli, Flavia/J-7794-2016; Chiozzini, Chiara/AAH-1790-2021; chiozzini, chiara/M-8906-2017; Arenaccio, Claudia/J-9914-2016; Di Bonito, Paola/A-6675-2013; Federico, Maurizio/J-5867-2016</t>
  </si>
  <si>
    <t>Di Bonito, Paola/0000-0002-4737-374X; Ferrantelli, Flavia/0000-0002-0768-1078; Chiozzini, Chiara/0000-0002-4153-0927; Arenaccio, Claudia/0000-0003-3297-2608; Di Bonito, Paola/0000-0002-4737-374X; Federico, Maurizio/0000-0003-4154-1025; manfredi, francesco/0000-0002-1746-1546; Olivetta, Eleonora/0000-0003-3296-5328; Anticoli, Simona/0000-0003-3238-3280; Ruggieri, Anna/0000-0003-2987-3844</t>
  </si>
  <si>
    <t>10.2147/IJN.S131309</t>
  </si>
  <si>
    <t>WOS:000404102000003</t>
  </si>
  <si>
    <t>Park, J; Lee, C; Eom, JS; Kim, MH; Cho, YK</t>
  </si>
  <si>
    <t>Park, Juhee; Lee, Chaeeun; Eom, Jung Seop; Kim, Mi-Hyun; Cho, Yoon-Kyoung</t>
  </si>
  <si>
    <t>Detection of EGFR Mutations Using Bronchial Washing-Derived Extracellular Vesicles in Patients with Non-Small-Cell Lung Carcinoma</t>
  </si>
  <si>
    <t>lung cancer; liquid biopsy; bronchial washing (BW); extracellular vesicles; EGFR; T790M</t>
  </si>
  <si>
    <t>ACQUIRED-RESISTANCE; LIQUID BIOPSIES; CANCER; DNA; TECHNOLOGIES; SPECIMENS; DIAGNOSIS; CYTOLOGY; THERAPY</t>
  </si>
  <si>
    <t>Simple Summary Considering the spatiotemporal heterogeneity, more frequent monitoring of the disease progress using less-invasive liquid biopsy technologies is highly desired. Here, we demonstrate that epidermal growth factor receptor (EGFR) mutations could be readily detected from minimally invasive bronchial washing (BW)-derived EVs with good accuracy. The acquisition of T790M resistance mutation was detected earlier in BW-derived EVs than in plasma or tissue samples. The longitudinal analysis of BW-derived EVs showed excellent correlation with the disease progression measured by CT images. We demonstrate the clinical potential of BW-derived EVs as a liquid-biopsy sample for prognosis and precision medicine in patients with lung cancer. The detection of epidermal growth factor receptor (EGFR) mutation, based on tissue biopsy samples, provides a valuable guideline for the prognosis and precision medicine in patients with lung cancer. In this study, we aimed to examine minimally invasive bronchial washing (BW)-derived extracellular vesicles (EVs) for EGFR mutation analysis in patients with lung cancer. A lab-on-a-disc equipped with a filter with 20-nm pore diameter, Exo-Disc, was used to enrich EVs in BW samples. The overall detection sensitivity of EGFR mutations in 55 BW-derived samples was 89.7% and 31.0% for EV-derived DNA (EV-DNA) and EV-excluded cell free-DNA (EV-X-cfDNA), respectively, with 100% specificity. The detection rate of T790M in 13 matched samples was 61.5%, 10.0%, and 30.8% from BW-derived EV-DNA, plasma-derived cfDNA, and tissue samples, respectively. The acquisition of T790M resistance mutation was detected earlier in BW-derived EVs than plasma or tissue samples. The longitudinal analysis of BW-derived EVs showed excellent correlation with the disease progression measured by CT images. The EGFR mutations can be readily detected in BW-derived EVs, which demonstrates their clinical potential as a liquid-biopsy sample that may aid precise management, including assessment of the treatment response and drug resistance in patients with lung cancer.</t>
  </si>
  <si>
    <t>[Park, Juhee; Lee, Chaeeun; Cho, Yoon-Kyoung] Inst Basic Sci IBS, Ctr Soft &amp; Living Matter, Ulsan 44919, South Korea; [Lee, Chaeeun; Cho, Yoon-Kyoung] Ulsan Natl Inst Sci &amp; Technol UNIST, Dept Biomed Engn, Ulsan 44919, South Korea; [Eom, Jung Seop; Kim, Mi-Hyun] Pusan Natl Univ, Sch Med, Dept Internal Med, 179 Gudeok Ro, Busan 49241, South Korea; [Eom, Jung Seop; Kim, Mi-Hyun] Pusan Natl Univ Hosp, Biomed Res Inst, 179 Gudeok Ro, Busan 49241, South Korea</t>
  </si>
  <si>
    <t>Institute for Basic Science - Korea (IBS); Ulsan National Institute of Science &amp; Technology (UNIST); Pusan National University; Pusan National University; Pusan National University Hospital</t>
  </si>
  <si>
    <t>Cho, YK (corresponding author), Inst Basic Sci IBS, Ctr Soft &amp; Living Matter, Ulsan 44919, South Korea.;Cho, YK (corresponding author), Ulsan Natl Inst Sci &amp; Technol UNIST, Dept Biomed Engn, Ulsan 44919, South Korea.;Kim, MH (corresponding author), Pusan Natl Univ, Sch Med, Dept Internal Med, 179 Gudeok Ro, Busan 49241, South Korea.;Kim, MH (corresponding author), Pusan Natl Univ Hosp, Biomed Res Inst, 179 Gudeok Ro, Busan 49241, South Korea.</t>
  </si>
  <si>
    <t>jugene@nate.com; chaeeun@unist.ac.kr; ejspulm@gmail.com; mihyunkim@pusan.ac.kr; ykcho@unist.ac.kr</t>
  </si>
  <si>
    <t>Cho, Yoon-Kyoung/ABF-9355-2021; Cho, Yoon-Kyoung/E-9082-2010; Park, Juhee/P-5219-2017</t>
  </si>
  <si>
    <t>Cho, Yoon-Kyoung/0000-0001-6423-1834; Cho, Yoon-Kyoung/0000-0001-6423-1834; Park, Juhee/0000-0002-8109-6387; Kim, Mi-Hyun/0000-0002-6527-6804</t>
  </si>
  <si>
    <t>10.3390/cancers12102822</t>
  </si>
  <si>
    <t>WOS:000582657600001</t>
  </si>
  <si>
    <t>Cavallari, C; Ranghino, A; Tapparo, M; Cedrino, M; Figliolini, F; Grange, C; Giannachi, V; Garneri, P; Deregibus, MC; Collino, F; Rispoli, P; Camussi, G; Brizzi, MF</t>
  </si>
  <si>
    <t>Cavallari, Claudia; Ranghino, Andrea; Tapparo, Marta; Cedrino, Massimo; Figliolini, Federico; Grange, Cristina; Giannachi, Valentina; Garneri, Paolo; Deregibus, Maria Chiara; Collino, Federica; Rispoli, Pietro; Camussi, Giovanni; Brizzi, Maria Felice</t>
  </si>
  <si>
    <t>Serum-derived extracellular vesicles (EVs) impact on vascular remodeling and prevent muscle damage in acute hind limb ischemia</t>
  </si>
  <si>
    <t>MICROPARTICLES INDUCE ANGIOGENESIS; MICROVESICLES; EXOSOMES; RECEPTOR; DISEASE; CELLS; STATE; NEOVASCULARIZATION; INTERVENTION; REGENERATION</t>
  </si>
  <si>
    <t>Serum is an abundant and accessible source of circulating extracellular vesicles (EVs). Serum-EV (sEV) pro-angiogenic capability and mechanisms are herein analyzed using an in vitro assay which predicts sEV angiogenic potential in vivo. Effective sEVs (e-sEVs) also improved vascular remodeling and prevented muscle damage in a mouse model of acute hind limb ischemia. e-sEV angiogenic proteomic and transcriptomic analyses show a positive correlation with matrix-metalloproteinase activation and extracellular matrix organization, cytokine and chemokine signaling pathways, Insulin-like Growth Factor and platelet pathways, and Vascular Endothelial Growth Factor signaling. A discrete gene signature, which highlights differences in e-sEV and ineffective-EV biological activity, was identified using gene ontology (GO) functional analysis. An enrichment of genes associated with the Transforming Growth Factor beta 1 (TGF beta 1) signaling cascade is associated with e-sEV administration but not with ineffective-EVs. Chromatin immunoprecipitation analysis on the inhibitor of DNA binding I (ID1) promoter region, and the knock-down of small mother against decapentaplegic (SMAD) 1-5 proteins confirmed GO functional analyses. This study demonstrates sEV pro-angiogenic activity, validates a simple, sEV pro-angiogenic assay which predicts their biological activity in vivo, and identifies the TGF beta 1 cascade as a relevant mediator. We propose serum as a readily available source of EVs for therapeutic purposes.</t>
  </si>
  <si>
    <t>[Cavallari, Claudia; Ranghino, Andrea; Tapparo, Marta; Cedrino, Massimo; Figliolini, Federico; Grange, Cristina; Giannachi, Valentina; Deregibus, Maria Chiara; Collino, Federica; Camussi, Giovanni; Brizzi, Maria Felice] Univ Turin, Dept Med Sci, Scarl 2i3T, Turin, Italy; [Garneri, Paolo; Rispoli, Pietro] Univ Turin, Dept Surg Sci, Turin, Italy</t>
  </si>
  <si>
    <t>University of Turin; University of Turin</t>
  </si>
  <si>
    <t>Camussi, G; Brizzi, MF (corresponding author), Univ Turin, Dept Med Sci, Scarl 2i3T, Turin, Italy.</t>
  </si>
  <si>
    <t>giovanni.camussi@unito.it; mariafelice.brizzi@unito.it</t>
  </si>
  <si>
    <t>Brizzi, Maria Felice/J-7882-2016; Collino, Federica/AAC-6032-2022; Figliolini, Federico/AAQ-4983-2021; Collino, Federica/B-9956-2018</t>
  </si>
  <si>
    <t>Collino, Federica/0000-0002-3619-7701; Collino, Federica/0000-0002-3619-7701; GRANGE, CRISTINA/0000-0002-6960-5476; Figliolini, Federico/0000-0002-6142-2261</t>
  </si>
  <si>
    <t>AUG 15</t>
  </si>
  <si>
    <t>10.1038/s41598-017-08250-0</t>
  </si>
  <si>
    <t>WOS:000407570000057</t>
  </si>
  <si>
    <t>Tang, QS; Zhang, XJ; Zhang, WDA; Zhao, SY; Chen, Y</t>
  </si>
  <si>
    <t>Tang, Qisheng; Zhang, Xiaojun; Zhang, Wendiao; Zhao, Siyuan; Chen, Yong</t>
  </si>
  <si>
    <t>Identification and characterization of cell-bound membrane vesicles</t>
  </si>
  <si>
    <t>BIOCHIMICA ET BIOPHYSICA ACTA-BIOMEMBRANES</t>
  </si>
  <si>
    <t>Membrane vesicles; Human umbilical vein endothelial cells (HUVECs); Human hepatoma HepG-2 cells; Detergent resistance; Lipid rafts</t>
  </si>
  <si>
    <t>EXTRACELLULAR VESICLES; ENDOTHELIAL MICROPARTICLES; IN-VITRO; LIPID RAFTS; EXOSOMES; RELEASE; ACTIVATION; SURFACE; PLASMA</t>
  </si>
  <si>
    <t>In contrast to the released/circulating membrane vesicles (extracellular vesicles), cell-bound membrane vesicles are poorly identified and characterized. In this study, cell-bound membrane vesicles on human umbilical vein endothelial cells (HUVECs) and human hepatoma HepG-2 cells were investigated. We identified that cell-bound membrane vesicles are not co-localized with the major markers for extracellular vesicles (e.g. phosphatidylserine, CD63, CD107 alpha, CD31, and DNA fragments for the three well-known types of extracellular vesicles) and for intracellular organelles with similar sizes (e.g. MitoTracker and LAMP1/LAMP3 for mitochondria and multivesicular bodies or lysosomes, respectively). The data imply that cell-bound membrane vesicles are neither the precursors of extracellular vesicles nor a false structure pushed up by an intracellular organelle but probably a novel unknown structure in the plasma membrane. Moreover, we revealed that cell-bound membrane vesicles are resistant to various detergents including but probably not limited to Triton X-100, SDS, and saponin. We further characterized that these unique vesicles are soluble in organic solvents (e.g. chloroform-methanol mixture and ethanol) which can be prevented by a lipid-stabilizing fixative (e.g. OsO4) and that they are co-localized with, but do not monopolize, the major markers (e.g. caveolin-1 and GM1) for lipid rafts (a nano-sized detergent-resistant domains in the plasma membrane). The data imply that cell-bound membrane vesicles contain the lipid component and lipid rafts. Involvement of other specific unknown components might explain the detergent resistance of cell-bound membrane vesicles. Further research will mainly depend on the establishment of an effective approach for isolation/purification of these vesicles from the plasma membrane. (C) 2017 Elsevier B.V. All rights reserved.</t>
  </si>
  <si>
    <t>[Tang, Qisheng; Zhang, Xiaojun; Zhang, Wendiao; Zhao, Siyuan; Chen, Yong] Nanchang Univ, Inst Adv Study, Nanoscale Sci &amp; Technol Lab, Nanchang, Jiangxi, Peoples R China; [Tang, Qisheng; Chen, Yong] Nanchang Univ, Coll Life Sci, Nanchang, Jiangxi, Peoples R China</t>
  </si>
  <si>
    <t>Nanchang University; Nanchang University</t>
  </si>
  <si>
    <t>Chen, Y (corresponding author), 999 Xuefu Ave Honggutan Dist, Nanchang 330031, Jiangxi, Peoples R China.</t>
  </si>
  <si>
    <t>dr_yongchen@hotmail.com</t>
  </si>
  <si>
    <t>Chen, Yong/A-8143-2008</t>
  </si>
  <si>
    <t>Chen, Yong/0000-0003-1678-1537; Zhao, Siyuan/0000-0003-2005-9440</t>
  </si>
  <si>
    <t>0005-2736</t>
  </si>
  <si>
    <t>0006-3002</t>
  </si>
  <si>
    <t>10.1016/j.bbamem.2017.01.013</t>
  </si>
  <si>
    <t>WOS:000398870800011</t>
  </si>
  <si>
    <t>Guru, KTP; Sreeja, JS; Dharmapal, D; Sengupta, S; Basu, PK</t>
  </si>
  <si>
    <t>Guru, Krishna Thej Pammi; Sreeja, Jamuna Surendran; Dharmapal, Dhrishya; Sengupta, Suparna; Basu, Palash Kumar</t>
  </si>
  <si>
    <t>Novel Gold Nanoparticle-Based Quick Small-Exosome Isolation Technique from Serum Sample at a Low Centrifugal Force</t>
  </si>
  <si>
    <t>NANOMATERIALS</t>
  </si>
  <si>
    <t>Au nanoparticle synthesis; small exosome isolation; PEG; EDC-SNHS chemistry; CD63</t>
  </si>
  <si>
    <t>EXTRACELLULAR VESICLES; SIZE</t>
  </si>
  <si>
    <t>Exosomes are cell-secreted vesicles secreted by a majority of cells and, hence, populating most of the biological fluids, namely blood, tears, sweat, swab, urine, breast milk, etc. They vary vastly in size and density and are influenced by age, gender and diseases. The composition of exosomes includes lipids, DNA, proteins, and coding and noncoding RNA. There is a significant interest in selectively isolating small exosomes (&lt;= 50 nm) from human serum to investigate their role in different diseases and regeneration. However, current techniques for small exosome isolation/purification are time-consuming and highly instrument-dependent, with limited specificity and recovery. Thus, rapid and efficient methods to isolate them from bio fluids are strongly needed for both basic research and clinical applications. In the present work, we explored the application of a bench-top centrifuge for isolating mostly the small exosomes (&lt;= 50 nm). This can be achieved at low g-force by adding additional weight to the exosomes by conjugating them with citrate-capped gold nanoparticles (CGNP). CGNPs were functionalized with polyethylene glycol (PEG) to form PEGylated GNP (PGNP). EDC/SNHS chemistry is used to activate the -COOH group of the PEG to make it suitable for conjugation with antibodies corresponding to exosomal surface proteins. These antibody-conjugated PGNPs were incubated with the serum to form PGNP-exosome complexes which were separated directly by centrifugation at a low g-force of 7000x g. This makes this technique efficient compared to that of standard ultracentrifugation exosome isolation (which uses approximately 100,000x g). Using the technique, the exosome isolation from serum was achieved successfully in less than two hours. The purification of small exosomes, characterized by the presence of CD63, CD9 and CD81, and sized between 20 nm to 50 nm, was confirmed by western blot, dynamic light scattering (DLS), transmission electron microscopy (TEM) and nanoparticle tracking analyser (NTA).</t>
  </si>
  <si>
    <t>[Guru, Krishna Thej Pammi; Basu, Palash Kumar] Indian Inst Space Sci &amp; Technol, Dept Av, Thiruvananthapuram 695547, India; [Sreeja, Jamuna Surendran; Dharmapal, Dhrishya; Sengupta, Suparna] Rajiv Gandhi Ctr Biotechnol, Thiruvananthapuram 695014, Kerala, India</t>
  </si>
  <si>
    <t>Department of Space (DoS), Government of India; Indian Institute of Space Science &amp; Technology; Department of Biotechnology (DBT) India; Rajiv Gandhi Centre for Biotechnology (RGCB)</t>
  </si>
  <si>
    <t>Basu, PK (corresponding author), Indian Inst Space Sci &amp; Technol, Dept Av, Thiruvananthapuram 695547, India.;Sengupta, S (corresponding author), Rajiv Gandhi Ctr Biotechnol, Thiruvananthapuram 695014, Kerala, India.</t>
  </si>
  <si>
    <t>krishnathej@gmail.com; jssreeja@rgcb.res.in; dhrishya@rgcb.res.in; ssengupta@rgcb.res.in; palashkumarbasu@iist.ac.in</t>
  </si>
  <si>
    <t>2079-4991</t>
  </si>
  <si>
    <t>10.3390/nano12101660</t>
  </si>
  <si>
    <t>WOS:000801412100001</t>
  </si>
  <si>
    <t>Thippabhotla, S; Zhong, CC; He, M</t>
  </si>
  <si>
    <t>Thippabhotla, Sirisha; Zhong, Cuncong; He, Mei</t>
  </si>
  <si>
    <t>3D cell culture stimulates the secretion of in vivo like extracellular vesicles</t>
  </si>
  <si>
    <t>LIQUID BIOPSY; HYDROGEL SCAFFOLDS; EXOSOME BIOGENESIS; MEMBRANE-VESICLES; CANCER EXOSOMES; OVARIAN-CANCER; COMMUNICATION; 2D; MICRORNAS; MICROVESICLES</t>
  </si>
  <si>
    <t>For studying cellular communications ex-vivo, a two-dimensional (2D) cell culture model is currently used as the gold standard. 2D culture models are also widely used in the study of RNA expression profiles from tumor cells secreted extracellular vesicles (EVs) for tumor biomarker discovery. Although the 2D culture system is simple and easily accessible, the culture environment is unable to represent in vivo extracellular matrix (ECM) microenvironment. Our study observed that 2D- culture derived EVs showed significantly different profiles in terms of secretion dynamics and essential signaling molecular contents (RNAs and DNAs), when compared to the three-dimensional (3D) culture derived EVs. By performing small RNA next-generation sequencing (NGS) analysis of cervical cancer cells and their EVs compared with cervical cancer patient plasma EV-derived small RNAs, we observed that 3D- culture derived EV small RNAs differ from their parent cell small RNA profile which may indicate a specific sorting process. Most importantly, the 3D- culture derived EV small RNA profile exhibited a much higher similarity (similar to 96%) to in vivo circulating EVs derived from cervical cancer patient plasma. However, 2D- culture derived EV small RNA profile correlated better with only their parent cells cultured in 2D. On the other hand, DNA sequencing analysis suggests that culture and growth conditions do not affect the genomic information carried by EV secretion. This work also suggests that tackling EV molecular alterations secreted into interstitial fluids can provide an alternative, non-invasive approach for investigating 3D tissue behaviors at the molecular precision. This work could serve as a foundation for building precise models employed in mimicking in vivo tissue system with EVs as the molecular indicators or transporters. Such models could be used for investigating tumor biomarkers, drug screening, and understanding tumor progression and metastasis.</t>
  </si>
  <si>
    <t>[Thippabhotla, Sirisha; Zhong, Cuncong] Univ Kansas, Dept Elect Engn &amp; Comp Sci, Lawrence, KS 66045 USA; [Zhong, Cuncong; He, Mei] Univ Kansas, Bioengn Res Ctr, Lawrence, KS 66045 USA; [He, Mei] Univ Kansas, Dept Chem &amp; Petr Engn, Lawrence, KS 66045 USA; [He, Mei] Univ Kansas, Dept Chem, Lawrence, KS 66045 USA</t>
  </si>
  <si>
    <t>University of Kansas; University of Kansas; University of Kansas; University of Kansas</t>
  </si>
  <si>
    <t>He, M (corresponding author), Univ Kansas, Bioengn Res Ctr, Lawrence, KS 66045 USA.;He, M (corresponding author), Univ Kansas, Dept Chem &amp; Petr Engn, Lawrence, KS 66045 USA.;He, M (corresponding author), Univ Kansas, Dept Chem, Lawrence, KS 66045 USA.</t>
  </si>
  <si>
    <t>meih@ku.edu</t>
  </si>
  <si>
    <t>10.1038/s41598-019-49671-3</t>
  </si>
  <si>
    <t>WOS:000484986300026</t>
  </si>
  <si>
    <t>Wang, ZY; Wang, RX; Ding, XQ; Zhang, X; Pan, XR; Tong, JH</t>
  </si>
  <si>
    <t>Wang, Zhe-Ying; Wang, Rui-Xian; Ding, Xiao-Qing; Zhang, Xuan; Pan, Xiao-Rong; Tong, Jian-Hua</t>
  </si>
  <si>
    <t>A Protocol for Cancer-Related Mutation Detection on Exosomal DNA in Clinical Application</t>
  </si>
  <si>
    <t>exosomes; exosomal DNA; mutation detection; cancer; methodology</t>
  </si>
  <si>
    <t>DOUBLE-STRANDED DNA; EXTRACELLULAR VESICLES; NUCLEIC-ACIDS; BIOMARKER; KRAS</t>
  </si>
  <si>
    <t>Background Recently, some genomic mutations in exosomal DNA have been found to be related to disease progress and clinical outcomes of patients in several cancers. Unfortunately, the methods for exosome isolation and exosomal DNA analysis are still lack of relevant research to ensure their optimal performance and the comparability. Here we aim to establish a protocol for cancer-related mutation detection on exosomal DNA in clinical application. Methods TakingKRASmutation in pancreatic cancer as an example, we tested whether the types of blood samples, the potential factors in the courses of exosome isolation and exosomal DNA preparation, as well as the detail in mutation detection by droplet digital PCR (ddPCR) could influence the exosomal DNA analysis. Results We found that the concentration of exosomal DNA from serum was higher than that from plasma, whereas the mutant allele fraction (MAF) ofKRASin serum-derived exosomal DNA was obviously lower. The membrane-based method for exosome isolation showed no evident difference in both exosomal DNA yield andKRASMAF from the classical ultracentrifugation method. DNase I pretreatment on exosomes could remove the wild-type DNA outside of exosomes and increase theKRASMAF. PBS might interfere with the effect of DNase I and should not be recommended as resuspension buffer for exosomes if the subsequent experiments would be done with exosomal DNA. Besides, the denaturation of exosomal DNA before droplet generation during ddPCR could effectively improve the totalKRAScopy number and mutation-positive droplet number. Conclusion This study provides some methodological evidences for the selection of the optimal experimental conditions in exosomal DNA analysis. We also suggest a protocol for mutation detection on exosomal DNA, which might be suitable for the clinical testing and could be helpful to the comparison of results from different laboratories.</t>
  </si>
  <si>
    <t>[Wang, Zhe-Ying; Wang, Rui-Xian; Ding, Xiao-Qing; Zhang, Xuan; Pan, Xiao-Rong; Tong, Jian-Hua] Shanghai Jiao Tong Univ, Ruijin Hosp, Sch Med, Dept Lab Med, Shanghai, Peoples R China; [Wang, Zhe-Ying; Wang, Rui-Xian; Ding, Xiao-Qing; Zhang, Xuan; Pan, Xiao-Rong; Tong, Jian-Hua] Shanghai Jiao Tong Univ, Ruijin Hosp, Sch Med, Cent Lab, Shanghai, Peoples R China</t>
  </si>
  <si>
    <t>Shanghai Jiao Tong University; Shanghai Jiao Tong University</t>
  </si>
  <si>
    <t>Pan, XR; Tong, JH (corresponding author), Shanghai Jiao Tong Univ, Ruijin Hosp, Sch Med, Dept Lab Med, Shanghai, Peoples R China.</t>
  </si>
  <si>
    <t>xrpan@126.com; jh_tong@126.com</t>
  </si>
  <si>
    <t>SEP 11</t>
  </si>
  <si>
    <t>10.3389/fonc.2020.558106</t>
  </si>
  <si>
    <t>WOS:000575939400001</t>
  </si>
  <si>
    <t>Duette, G; Gerber, PP; Rubione, J; Perez, PS; Landay, AL; Crowe, SM; Liao, ZH; Witwer, KW; Holgado, MP; Salido, J; Geffner, J; Sued, O; Palmer, CS; Ostrowski, M</t>
  </si>
  <si>
    <t>Duette, Gabriel; Gerber, Pehuen Pereyra; Rubione, Julia; Perez, Paula S.; Landay, Alan L.; Crowe, Suzanne M.; Liao, Zhaohao; Witwer, Kenneth W.; Holgado, Maria Pia; Salido, Jimena; Geffner, Jorge; Sued, Omar; Palmer, Clovis S.; Ostrowski, Matias</t>
  </si>
  <si>
    <t>Induction of HIF-1 alpha by HIV-1 Infection in CD4(+) T Cells Promotes Viral Replication and Drives Extracellular Vesicle-Mediated Inflammation</t>
  </si>
  <si>
    <t>MBIO</t>
  </si>
  <si>
    <t>CD4(+) T lymphocyte; extracellular vesicles; hypoxia-inducible factor 1 alpha; inflammation; human immunodeficiency virus; macrophage</t>
  </si>
  <si>
    <t>IMMUNODEFICIENCY-VIRUS TYPE-1; REVERSE TRANSCRIPTION; DNA SENSOR; HYPOXIA; ACTIVATION; PROTEIN; DEPLETION; EXOSOMES; INTEGRASE; MECHANISM</t>
  </si>
  <si>
    <t>Chronic immune activation and inflammation are hallmarks of HIV-1 infection and a major cause of serious non-AIDS events in HIV-1-infected individuals on antiretroviral treatment (ART). Herein, we show that cytosolic double-stranded DNA (dsDNA) generated in infected CD4(+) T cells during the HIV-1 replication cycle promotes the mitochondrial reactive oxygen species (ROS)-dependent stabilization of the transcription factor hypoxia-inducible factor 1 alpha (HIF-1 alpha), which in turn, enhances viral replication. Furthermore, we show that induction of HIF-1 alpha promotes the release of extracellular vesicles (EVs). These EVs foster inflammation by inducing the secretion of gamma interferon by bystander CD4(+) T cells and secretion of interleukin 6 (IL-6) and IL-1 beta by bystander macrophages through an HIF-1 alpha-dependent pathway. Remarkably, EVs obtained from plasma samples from HIV-1-infected individuals also induced HIF-1 alpha activity and inflammation. Overall, this study demonstrates that HIF-1 alpha plays a crucial role in HIV-1 pathogenesis by promoting viral replication and the release of EVs that orchestrate lymphocyte-and macrophagemediated inflammatory responses. IMPORTANCE Human immunodeficiency virus type 1 (HIV-1) is a very important global pathogen that preferentially targets CD4(+) T cells and causes acquired immunodeficiency syndrome (AIDS) if left untreated. Although antiretroviral treatment efficiently suppresses viremia, markers of immune activation and inflammation remain higher in HIV-1-infected patients than in uninfected individuals. The hypoxia-inducible factor 1 alpha (HIF-1 alpha) is a transcription factor that plays a fundamental role in coordinating cellular metabolism and function. Here we show that HIV-1 infection induces HIF-1 alpha activity and that this transcription factor upholds HIV-1 replication. Moreover, we demonstrate that HIF-1 alpha plays a key role in HIV-1-associated inflammation by promoting the release of extracellular vesicles which, in turn, trigger the secretion of inflammatory mediators by noninfected bystander lymphocytes and macrophages. In summary, we identify that the coordinated actions of HIF-1 alpha and extracellular vesicles promote viral replication and inflammation, thus contributing to HIV-1 pathogenesis.</t>
  </si>
  <si>
    <t>[Duette, Gabriel; Gerber, Pehuen Pereyra; Rubione, Julia; Perez, Paula S.; Holgado, Maria Pia; Salido, Jimena; Geffner, Jorge; Ostrowski, Matias] INBIRS, Fac Med, Buenos Aires, DF, Argentina; [Landay, Alan L.] Rush Univ, Med Ctr, Dept Immunol Microbiol, Chicago, IL 60612 USA; [Crowe, Suzanne M.; Palmer, Clovis S.] Burnet Inst, Life Sci Discipline, Melbourne, Vic, Australia; [Crowe, Suzanne M.; Palmer, Clovis S.] Monash Univ, Dept Infect Dis, Melbourne, Vic, Australia; [Crowe, Suzanne M.] Alfred Hosp, Infect Dis Dept, Melbourne, Vic, Australia; [Liao, Zhaohao; Witwer, Kenneth W.] Johns Hopkins Univ, Sch Med, Dept Mol &amp; Comparat Pathobiol, Baltimore, MD USA; [Sued, Omar] Fdn Huesped, Buenos Aires, DF, Argentina; [Palmer, Clovis S.] Univ Melbourne, Fac Med Dent &amp; Hlth Sci, Dept Microbiol &amp; Immunol, Melbourne, Vic, Australia</t>
  </si>
  <si>
    <t>Rush University; Burnet Institute; Monash University; Florey Institute of Neuroscience &amp; Mental Health; Johns Hopkins University; University of Melbourne</t>
  </si>
  <si>
    <t>Ostrowski, M (corresponding author), INBIRS, Fac Med, Buenos Aires, DF, Argentina.;Palmer, CS (corresponding author), Burnet Inst, Life Sci Discipline, Melbourne, Vic, Australia.;Palmer, CS (corresponding author), Monash Univ, Dept Infect Dis, Melbourne, Vic, Australia.;Palmer, CS (corresponding author), Univ Melbourne, Fac Med Dent &amp; Hlth Sci, Dept Microbiol &amp; Immunol, Melbourne, Vic, Australia.</t>
  </si>
  <si>
    <t>clovis.palmer@burnet.edu.au; maostro@fmed.uba.ar</t>
  </si>
  <si>
    <t>Palmer, Clovis/P-1986-2019; Witwer, Kenneth W./G-1626-2013</t>
  </si>
  <si>
    <t>Palmer, Clovis/0000-0002-5031-6922; Witwer, Kenneth W./0000-0003-1664-4233; Ostrowski, Matias/0000-0002-3982-1338; Rubione, Julia/0000-0002-7119-8216</t>
  </si>
  <si>
    <t>2150-7511</t>
  </si>
  <si>
    <t>SEP-OCT</t>
  </si>
  <si>
    <t>e00757-18</t>
  </si>
  <si>
    <t>10.1128/mBio.00757-18</t>
  </si>
  <si>
    <t>WOS:000449472200001</t>
  </si>
  <si>
    <t>Li, P; Yu, XY; Han, WJ; Kong, Y; Bao, WY; Zhang, JQ; Zhang, WC; Gu, YQ</t>
  </si>
  <si>
    <t>Li, Ping; Yu, Xiyuan; Han, Wujuan; Kong, Ying; Bao, Weiyang; Zhang, Jiaqi; Zhang, Wancun; Gu, Yueqing</t>
  </si>
  <si>
    <t>Ultrasensitive and Reversible Nanoplatform of Urinary Exosomes for Prostate Cancer Diagnosis</t>
  </si>
  <si>
    <t>urinary exosomes; cancer biomarker; prostate cancer diagnosis; prostate specific membrane antigen; aptamer</t>
  </si>
  <si>
    <t>EXTRACELLULAR VESICLES; AMPLIFICATION; BIOMARKERS; SENSOR</t>
  </si>
  <si>
    <t>Prostate cancer cell-derived exosomes in urine have been extensively studied recently and regarded as novel biomarkers for cancer diagnosis and prognosis, which presents wide prospects in clinical applications. Sensitive detection and specific capture methods are essential for exosomes analysis. Herein, a dual functional platform composed of superparamagnetic conjunctions and molecular beacons (SMC-MB) is reported. The SMC-MB platform is designed based on aptamer immunoaffinity with ultrasensitive detection efficiency and reversible isolation capacity, which, respectively, profit from nonenzymatic amplification methods and magnetic separation along with restriction cleavage. It is noteworthy that exosomes quantification was exactly amplified and transformed into single strand DNA detection. Correlated measurements evidence that the limit of detection of SMC-MB is as low as similar to 100 particles/mu L in urine, and a linear relationship meets between the logarithmic concentration of exosomes and fluorescence intensity of the molecular beacon. Furthermore, employing prostate specific membrane antigen (PSMA) aptamer, the platform adapted to detect and capture PMSA-positive exosomes from urine samples provides excellent diagnostic efficiency for prostate cancer (PCa). The expression of typical biomarkers of PCa, i.e., PSA and PCA3 mRNA, is significantly higher in PSMA-positive exosomes. Altogether, the platform and strategy described in this paper are promising in urinary exosomes analysis and prostate cancer detection.</t>
  </si>
  <si>
    <t>[Li, Ping; Yu, Xiyuan; Han, Wujuan; Bao, Weiyang; Zhang, Jiaqi; Zhang, Wancun; Gu, Yueqing] China Pharmaceut Univ, Sch Engn, Dept Biomed Engn, 639 Longmian Ave, Nanjing 211198, Jiangsu, Peoples R China; [Kong, Ying; Gu, Yueqing] China Pharmaceut Univ, State Key Lab Nat Med, 639 Longmian Ave, Nanjing 211198, Jiangsu, Peoples R China</t>
  </si>
  <si>
    <t>China Pharmaceutical University; China Pharmaceutical University</t>
  </si>
  <si>
    <t>Gu, YQ (corresponding author), China Pharmaceut Univ, Sch Engn, Dept Biomed Engn, 639 Longmian Ave, Nanjing 211198, Jiangsu, Peoples R China.;Gu, YQ (corresponding author), China Pharmaceut Univ, State Key Lab Nat Med, 639 Longmian Ave, Nanjing 211198, Jiangsu, Peoples R China.</t>
  </si>
  <si>
    <t>guengineering@cpu.edu.cn</t>
  </si>
  <si>
    <t>, 张万存/AAS-8026-2020</t>
  </si>
  <si>
    <t>Gu, Yueqing/0000-0003-1315-4618</t>
  </si>
  <si>
    <t>10.1021/acssensors.9b00621</t>
  </si>
  <si>
    <t>WOS:000469410100038</t>
  </si>
  <si>
    <t>Kim, MH; Choi, SJ; Choi, HI; Choi, JP; Park, HK; Kim, EK; Kim, MJ; Moon, BS; Min, TK; Rho, M; Cho, YJ; Yang, S; Kim, YK; Kim, YY; Pyun, BY</t>
  </si>
  <si>
    <t>Kim, Min-Hye; Choi, Seng Jin; Choi, Hyun-Il; Choi, Jun-Pyo; Park, Han-Ki; Kim, Eun Kyoung; Kim, Min-Jeong; Moon, Byoung Seok; Min, Taek-ki; Rho, Mina; Cho, Young-Joo; Yang, Sanghwa; Kim, Yoon-Keun; Kim, You-Young; Pyun, Bok Yang</t>
  </si>
  <si>
    <t>Lactobacillus plantarum-derived Extracellular Vesicles Protect Atopic Dermatitis Induced by Staphylococcus aureus-derived Extracellular Vesicles</t>
  </si>
  <si>
    <t>ALLERGY ASTHMA &amp; IMMUNOLOGY RESEARCH</t>
  </si>
  <si>
    <t>Atopic dermatitis; Lactobacillus; microbiome; metagenomics; probiotics</t>
  </si>
  <si>
    <t>MEMBRANE-VESICLES; T-CELLS; CHILDREN; PREVALENCE; BACTERIA; DISEASE; DUST; PROBIOTICS; MICROBIOTA; DIVERSITY</t>
  </si>
  <si>
    <t>Purpose: The microbial environment is an important factor that contributes to the pathogenesis of atopic dermatitis (AD). Recently, it was revealed that not only bacteria itself but also extracellular vesicles (EVs) secreted from bacteria affect the allergic inflammation process. However, almost all research carried out so far was related to local microorganisms, not the systemic microbial distribution. We aimed to compare the bacterial EV composition between AD patients and healthy subjects and to experimentally find out the beneficial effect of some bacterial EV composition. Methods: Twenty-seven AD patients and 6 healthy control subjects were enrolled. After urine and serum were obtained, EVs were prepared from samples. Metagenomic analysis of 16s ribosomal DNA extracted from the EVs was performed, and bacteria showing the greatest difference between controls and patients were identified. In vitro and in vivo therapeutic effects of significant bacterial EV were evaluated with keratinocytes and with Staphylococcus aureus-induced mouse AD models, respectively. Results: The proportions of Lactococcus, Leuconostoc and Lactobacillus EVs were significantly higher and those of Alicyclobacillus and Propionibacterium were lower in the control group than in the AD patient group. Therefore, lactic acid bacteria were considered to be important ones that contribute to the difference between the patient and control groups. In vitro, interleukin (IL)-6 from keratinocytes and macrophages decreased and cell viability was restored with Lactobacillus plantarum-derived EV treatment prior to S. aureus EV treatment. In S. aureus-induced mouse AD models, L. plantarum-derived EV administration reduced epidermal thickening and the IL-4 level. Conclusions: We suggested the protective role of lactic acid bacteria in AD based on metagenomic analysis. Experimental findings further suggest that L. plantarum-derived EV could help prevent skin inflammation.</t>
  </si>
  <si>
    <t>[Kim, Min-Hye; Cho, Young-Joo] Ewha Womans Univ, Dept Internal Med, Coll Med, 1071 Anyangcheon Ro, Seoul 07985, South Korea; [Choi, Seng Jin] AEON Medix Inc, Res Inst, Pohang, South Korea; [Choi, Hyun-Il] Pohang Univ Sci &amp; Technol, Div Mol &amp; Life Sci, Dept Life Sci, Pohang, South Korea; [Choi, Jun-Pyo] Asan Med Ctr, Asan Inst Life Sci, Seoul, South Korea; [Park, Han-Ki] Kyungpook Natl Univ, Dept Internal Med, Sch Med, Daegu, South Korea; [Kim, Eun Kyoung; Yang, Sanghwa; Kim, Yoon-Keun] Inst MD Healthcare Inc, Seoul, South Korea; [Kim, Min-Jeong; Moon, Byoung Seok] CJ CheilJedang Corp, CJ R&amp;D Ctr, Suwon, South Korea; [Min, Taek-ki; Pyun, Bok Yang] Soonchunhyang Univ, Coll Med, Seoul Hosp, Pediat Allergy &amp; Resp Ctr,Dept Pediat, 59 Daesagwan Ro, Seoul 04401, South Korea; [Rho, Mina] Hanyang Univ, Dept Comp Sci &amp; Engn, Seoul, South Korea; [Kim, You-Young] Natl Med Ctr, Dept Internal Med, Seoul, South Korea</t>
  </si>
  <si>
    <t>Ewha Womans University; Pohang University of Science &amp; Technology (POSTECH); University of Ulsan; Asan Medical Center; Kyungpook National University; Soonchunhyang University; Hanyang University; National Medical Center - Korea</t>
  </si>
  <si>
    <t>Kim, MH (corresponding author), Ewha Womans Univ, Dept Internal Med, Coll Med, 1071 Anyangcheon Ro, Seoul 07985, South Korea.;Pyun, BY (corresponding author), Soonchunhyang Univ, Coll Med, Seoul Hosp, Pediat Allergy &amp; Resp Ctr,Dept Pediat, 59 Daesagwan Ro, Seoul 04401, South Korea.</t>
  </si>
  <si>
    <t>mineyang81@ewha.ac.kr; bypyun@schmc.ac.kr</t>
  </si>
  <si>
    <t>Park, Han-Ki/AAY-3102-2020</t>
  </si>
  <si>
    <t>Park, Han-Ki/0000-0002-5460-9917; Kim, Min-Hye/0000-0002-1775-3733</t>
  </si>
  <si>
    <t>2092-7355</t>
  </si>
  <si>
    <t>2092-7363</t>
  </si>
  <si>
    <t>SEP-NOV</t>
  </si>
  <si>
    <t>5-6</t>
  </si>
  <si>
    <t>10.4168/aair.2018.10.5.516</t>
  </si>
  <si>
    <t>WOS:000454569400009</t>
  </si>
  <si>
    <t>Huang, ZR; Li, XH; Qiu, M; Chen, J; Tian, M; Han, FZ; Ou, YQ; Liu, XQ; Zhou, CB; Yuan, HY; Zhuang, J; Chen, JM</t>
  </si>
  <si>
    <t>Huang, Zirui; Li, Xiaohong; Qiu, Min; Chen, Jing; Tian, Miao; Han, Fengzhen; Ou, Yanqiu; Liu, Xiaoqing; Zhou, Chengbin; Yuan, Haiyun; Zhuang, Jian; Chen, Jimei</t>
  </si>
  <si>
    <t>Weighted gene co-expression network analysis identifies key genes from extracellular vesicles as potential prognostic biomarkers for congenital pulmonary stenosis</t>
  </si>
  <si>
    <t>MOLECULAR MEDICINE REPORTS</t>
  </si>
  <si>
    <t>pulmonary stenosis; extracellular vesicle; co-expression module; biomarker</t>
  </si>
  <si>
    <t>HEART-DISEASE; GLUCOCORTICOID-RECEPTOR; RISK</t>
  </si>
  <si>
    <t>Pulmonary stenosis (PS) is a congenital heart disease characterized by a dynamic or fixed anatomic obstruction of blood flow from the right ventricle to the pulmonary arterial vasculature. In the present study, extracellular vesicle long RNAs (EVLRs) from pregnant females who had healthy infants or PS infants were analyzed by RNA sequencing, and their diagnostic potential for PS during pregnancy was evaluated. A method for the selection of genes that could be considered as informative for the prediction PS based on extracellular vesicles (EVs) from pregnant females using long-read RNA sequencing was developed. Blood samples were collected from females carrying fetuses with PS and females carrying unaffected fetuses (n=6 in each group). Physical characterization of EVs was performed using nanoparticle tracking analysis, transmission electron microscopy and western blotting. EVLRs from plasma were profiled by RNA sequencing and mRNA co-expression modules were constructed by weighted gene co-expression network analysis (WGCNA). Gene Ontology (GO) enrichment analysis was used to predict the function of the genes in each module. Hub genes were filtered out based on WGCNA and visualized using Cytoscape. EVLRs consisted of mRNAs, microRNAs and long non-coding RNA. Overall, 26 modules were identified containing 16,394 genes. All modules were independent of each other. One particular module, referred to as the blue module, was markedly different between the two groups. A total of 735 hub genes in the blue module were identified, of which 33 were visualized, demonstrating the connection between these hub genes. GO enrichment analysis demonstrated that the analyzed hub genes were enriched in 'glucose transport', 'ATP-dependent chromatin remodeling', 'histone deacetylation', 'histone H3-K4 methylation', 'DNA methylation', 'apoptotic signaling pathway' and 'glucocorticoid receptor signaling pathway'. The hub genes identified in this module may provide a genetic framework for prenatal PS diagnosis. Furthermore, functional analysis of these associated genes may provide a theoretical basis for further research on PS pathogenesis.</t>
  </si>
  <si>
    <t>[Huang, Zirui; Li, Xiaohong; Chen, Jing; Zhou, Chengbin; Yuan, Haiyun; Zhuang, Jian; Chen, Jimei] South China Univ Technol, Sch Med, Guangdong Cardiovasc Inst, Guangdong Prov Key Lab South China Struct Heart D, Guangzhou, Peoples R China; [Huang, Zirui; Qiu, Min; Tian, Miao; Zhuang, Jian; Chen, Jimei] South China Univ Technol, Sch Med, Guangzhou, Peoples R China; [Huang, Zirui; Tian, Miao] Guangdong Acad Med Sci, Guangdong Prov Peoples Hosp, Guangdong Cardiovasc Inst, Dept Cardiovasc Surg, Guangzhou 510080, Guangdong, Peoples R China; [Han, Fengzhen] Guangdong Acad Med Sci, Guangdong Prov Peoples Hosp, Guangdong Cardiovasc Inst, Dept Obstet &amp; Gynecol, Guangzhou 510080, Guangdong, Peoples R China; [Ou, Yanqiu; Liu, Xiaoqing] Guangdong Acad Med Sci, Guangdong Prov Peoples Hosp, Guangdong Cardiovasc Inst, Dept Epidemiol, Guangzhou 510080, Guangdong, Peoples R China</t>
  </si>
  <si>
    <t>South China University of Technology; South China University of Technology; Guangdong Academy of Medical Sciences &amp; Guangdong General Hospital; Guangdong Academy of Medical Sciences &amp; Guangdong General Hospital; Guangdong Academy of Medical Sciences &amp; Guangdong General Hospital</t>
  </si>
  <si>
    <t>Zhuang, J; Chen, JM (corresponding author), Guangdong Cardiovasc Inst, Guangdong Prov Key Lab South China Struct Heart D, 106 Zhongshan Second Rd, Guangzhou 510080, Guangdong, Peoples R China.</t>
  </si>
  <si>
    <t>drzhaungjian5413@163.com; jimei1965@gmail.com</t>
  </si>
  <si>
    <t>Ou, Yanqiu/AAJ-6251-2021</t>
  </si>
  <si>
    <t>1791-2997</t>
  </si>
  <si>
    <t>1791-3004</t>
  </si>
  <si>
    <t>10.3892/mmr.2020.11332</t>
  </si>
  <si>
    <t>Oncology; Medicine, Research &amp; Experimental</t>
  </si>
  <si>
    <t>Oncology; Research &amp; Experimental Medicine</t>
  </si>
  <si>
    <t>WOS:000563936800089</t>
  </si>
  <si>
    <t>Jiang, Y; Huang, JM; Wu, JY; Eda, S</t>
  </si>
  <si>
    <t>Jiang, Yu; Huang, Jiamei; Wu, Jayne; Eda, Shigetoshi</t>
  </si>
  <si>
    <t>A rapid, sensitive, and simple-to-use biosensor for on-site detection of attomolar level microRNA biomarkers from serum extracellular vesicles</t>
  </si>
  <si>
    <t>SENSORS AND ACTUATORS B-CHEMICAL</t>
  </si>
  <si>
    <t>Capacitive sensing; miRNA detection; Point -of -care detection; AC electrokinetics; AC electrothermal effect</t>
  </si>
  <si>
    <t>POINT; AMPLIFICATION; OPPORTUNITIES; IMMUNOSENSOR; CHALLENGES; GRAPHENE</t>
  </si>
  <si>
    <t>On-site detection of microRNAs in blood-borne extracellular vesicles is important for the timely diagnosis of various diseases and physiologic conditions, including pregnancy status. This work developed a rapid, highly -sensitive capacitive biosensor to detect bovine embryonic mortality-related microRNA, miRNA-16b, in serum extracellular vesicles. The sensor was developed to achieve rapid, highly sensitive and specific detection of miRNA-16b, based on AC electrokinetically accelerated capacitive detection of DNA probe-microRNA hybridi-zation. Using interdigitated electrodes functionalized with complementary DNA probes, this sensing method integrated capacitive measurement with simultaneous AC electrokinetic convection of analytes. Consequently, trace level microRNAs can be quantitatively detected in 30 s, with a detection limit of 22 aM from analytical buffer and 323 aM from neat serum over a linear dynamic range from 0.1 fM to 1 pM. The work also developed a simple and rapid pretreatment protocol to release miRNAs from extracellular vesicles in serum. As a result, the sensor can yield results from serum samples in minutes and diagnose embryonic mortality at day 17 of gestation with a sensitivity of 90.00% and specificity of 88.89% for clinical bovine serum samples. The sensor is fabricated from low-cost printed circuit board electrodes and is mass-production friendly. This rapid and sensitive sensor provides a foundation technology for the development of on-site diagnosis in various human and animal health applications.</t>
  </si>
  <si>
    <t>[Jiang, Yu; Huang, Jiamei; Wu, Jayne] Univ Tennessee, Dept Elect Engn &amp; Comp Sci, Knoxville, TN 37996 USA; [Eda, Shigetoshi] Univ Tennessee, Inst Agr, Dept Forestry Wildlife &amp; Fisheries, Knoxville, TN USA</t>
  </si>
  <si>
    <t>University of Tennessee System; University of Tennessee Knoxville; University of Tennessee System; University of Tennessee Knoxville; UT Institute of Agriculture</t>
  </si>
  <si>
    <t>Wu, JY (corresponding author), Univ Tennessee, Dept Elect Engn &amp; Comp Sci, Knoxville, TN 37996 USA.</t>
  </si>
  <si>
    <t>jaynewu@utk.edu</t>
  </si>
  <si>
    <t>0925-4005</t>
  </si>
  <si>
    <t>OCT 15</t>
  </si>
  <si>
    <t>10.1016/j.snb.2022.132314</t>
  </si>
  <si>
    <t>Chemistry, Analytical; Electrochemistry; Instruments &amp; Instrumentation</t>
  </si>
  <si>
    <t>Chemistry; Electrochemistry; Instruments &amp; Instrumentation</t>
  </si>
  <si>
    <t>WOS:000829239700006</t>
  </si>
  <si>
    <t>Feneberg, E; Steinacker, P; Lehnert, S; Schneider, A; Walther, P; Thal, DR; Linsenmeier, M; Ludolph, AC; Otto, M</t>
  </si>
  <si>
    <t>Feneberg, Emily; Steinacker, Petra; Lehnert, Stefan; Schneider, Anja; Walther, Paul; Thal, Dietmar R.; Linsenmeier, Miriam; Ludolph, Albert C.; Otto, Markus</t>
  </si>
  <si>
    <t>Limited role of free TDP-43 as a diagnostic tool in neurodegenerative diseases</t>
  </si>
  <si>
    <t>AMYOTROPHIC LATERAL SCLEROSIS AND FRONTOTEMPORAL DEGENERATION</t>
  </si>
  <si>
    <t>TDP-43; frontotemporal lobar degeneration; amyotrophic lateral sclerosis; exosomes; cerebrospinal fluid; biomarker</t>
  </si>
  <si>
    <t>FRONTOTEMPORAL LOBAR DEGENERATION; CEREBROSPINAL-FLUID; MEMBRANE-VESICLES; EXOSOMES; PROTEIN; PLASMA</t>
  </si>
  <si>
    <t>TAR DNA-binding protein 43 (TDP-43) is one of the neuropathological hallmarks in amyotrophic lateral sclerosis (ALS) and frontotemporal lobar degeneration (FTLD). It is present in patients' blood and cerebrospinal fluid (CSF); however, the source and clinical relevance of TDP-43 measurements in body fluids is uncertain. We investigated paired CSF and serum samples, blood lymphocytes, brain urea fractions and purified exosomes from CSF for TDP-43 by one-(1D), and two-dimensional (2D) Western immunoblotting (WB) and quantitative mass spectrometry (MRM) in patients with ALS, FTLD and non-neurodegenerative diseases. By means of 2D-WB we were able to demonstrate a similar isoform pattern of TDP-43 in lymphocytes, serum and CSF in contrast to that of brain urea fractions with TDP-43 pathology. We found that the TDP-43 CSF to blood concentration ratio is about 1:200. As a possible brain specific fraction we found TDP-43 in exosome preparations from CSF by immunoblot and MRM. We conclude that TDP-43 in CSF originates mainly from blood. Measurements of TDP-43 in CSF and blood are of minor importance as a diagnostic tool, but may be important for monitoring therapy effects of TDP-43 modifying drugs.</t>
  </si>
  <si>
    <t>[Feneberg, Emily; Steinacker, Petra; Lehnert, Stefan; Ludolph, Albert C.; Otto, Markus] Univ Ulm, Dept Neurol, D-89081 Ulm, Germany; [Schneider, Anja] Univ Med Ctr, DZNE &amp; CNMPB, German Ctr Neurodegenerat Disorders, Dept Psychiat &amp; Psychotherapy, Gottingen, Germany; [Walther, Paul] Univ Ulm, Cent Facil Elect Microscopy, D-89081 Ulm, Germany; [Thal, Dietmar R.; Linsenmeier, Miriam] Univ Ulm, Inst Pathol, Neuropathol Lab, D-89081 Ulm, Germany</t>
  </si>
  <si>
    <t>Ulm University; Helmholtz Association; German Center for Neurodegenerative Diseases (DZNE); University of Gottingen; University of Hamburg; University Medical Center Hamburg-Eppendorf; Ulm University; Ulm University</t>
  </si>
  <si>
    <t>Otto, M (corresponding author), Univ Ulm, Dept Neurol, Oberer Eselsberg 45, D-89081 Ulm, Germany.</t>
  </si>
  <si>
    <t>markus.otto@uni-ulm.de</t>
  </si>
  <si>
    <t>Otto, Markus/F-4304-2015; Feneberg, Emily/GLR-0300-2022; Thal, Dietmar R/O-7483-2018</t>
  </si>
  <si>
    <t>Otto, Markus/0000-0003-4273-4267; Thal, Dietmar R/0000-0002-1036-1075; Feneberg, Emily/0000-0001-5905-3826; Schneider, Anja/0000-0001-9540-8700</t>
  </si>
  <si>
    <t>2167-8421</t>
  </si>
  <si>
    <t>2167-9223</t>
  </si>
  <si>
    <t>10.3109/21678421.2014.905606</t>
  </si>
  <si>
    <t>Clinical Neurology</t>
  </si>
  <si>
    <t>WOS:000340827800004</t>
  </si>
  <si>
    <t>Rao, M; Zhu, YG; Qi, LZ; Hu, F; Gao, PJ</t>
  </si>
  <si>
    <t>Rao, Min; Zhu, Yonggang; Qi, Lingzhi; Hu, Feng; Gao, Pujun</t>
  </si>
  <si>
    <t>Circular RNA profiling in plasma exosomes from patients with gastric cancer</t>
  </si>
  <si>
    <t>gastric cancer; exosomes; circular RNA; high-throughput sequencing</t>
  </si>
  <si>
    <t>EXPRESSION; IDENTIFICATION; METASTASIS; INHIBITION; BIOMARKER; GENES</t>
  </si>
  <si>
    <t>Gastric cancer (GC) is among the most common cancer types worldwide with high mortality. Recent studies have shown that exosomes play a crucial role in the tumorigenesis of GC. The present study aimed to investigate the circular RNA (circRNA) profile in plasma exosomes from patients with gastric cancer (GC). Peripheral blood samples were collected from 5 patients with GC and 5 healthy donors, and exosomes were isolated from plasma. The high-throughput RNA sequencing (RNA-seq) method was applied to detect the differently expressed circRNAs (DE circRNAs). Subsequently, sequencing results were confirmed by reverse transcription quantitative (RT-q) PCR. The potential roles of DE circRNAs in GC were identified using Gene ontology (GO) and Kyoto Encyclopedia of Gene and Genome (KEGG) analysis. Furthermore, MiRanda software was used to predict circRNA-micro-RNA (miRNA) interactions. A total of 67,880 circRNAs were identified in all samples and 1,060 significantly DE circRNAs were screened, including 620 upregulated and 440 downregulated ones. These results were further confirmed by RT-qPCR. GO and KEGG analyses revealed that these circRNAs were significantly associated with 'cell cycle', 'cytoskeleton organization', 'cellular response to DNA damage', 'regulation of GTPase activity', 'phosphatidylinositol signaling pathway', 'MAPK signaling pathway', 'thyroid hormone signaling pathway', 'chemokine signaling pathway' and 'Wnt signaling pathway'. In addition, a circRNA-miRNA-mRNA interaction network was established. Taken together, these findings may help better understanding the underlying mechanisms of GC and identifying new molecular alterations in GC, and allow the enrichment of the circRNA profiling in human GC.</t>
  </si>
  <si>
    <t>[Rao, Min; Hu, Feng] Second Part First Hosp Jilin Univ, Dept Hepatol &amp; Gastroenterol, Changchun, Jilin, Peoples R China; [Zhu, Yonggang] Jilin Univ, Dept Radiotherapy, China Japan Union Hosp, Changchun 130033, Jilin, Peoples R China; [Qi, Lingzhi] Peoples Hosp Jilin Prov, Dept Gastroenterol, Changchun, Peoples R China; [Gao, Pujun] First Hosp Jilin Univ, Dept Hepatol, 71 Xinmin St, Changchun 130021, Jilin, Peoples R China</t>
  </si>
  <si>
    <t>Jilin University; Jilin University</t>
  </si>
  <si>
    <t>Gao, PJ (corresponding author), First Hosp Jilin Univ, Dept Hepatol, 71 Xinmin St, Changchun 130021, Jilin, Peoples R China.</t>
  </si>
  <si>
    <t>pujungao@sina.com</t>
  </si>
  <si>
    <t>10.3892/ol.2020.11800</t>
  </si>
  <si>
    <t>WOS:000563938300015</t>
  </si>
  <si>
    <t>Cambier, LD; Stachelek, K; Triska, M; Jubran, R; Huang, MY; Li, WY; Zhang, JY; Li, JT; Cobrinik, D</t>
  </si>
  <si>
    <t>Cambier, Linda; Stachelek, Kevin; Triska, Martin; Jubran, Rima; Huang, Manyu; Li, Wuyin; Zhang, Jianying; Li, Jitian; Cobrinik, David</t>
  </si>
  <si>
    <t>Extracellular vesicle-associated repetitive element DNAs as candidate osteosarcoma biomarkers</t>
  </si>
  <si>
    <t>Osteosarcoma (OS) is the most common malignant bone tumor in children and young adults. Despite that high-risk factors have been identified, no test for early detection is available. This study aimed to identify circulating nucleic acid sequences associated with serum extracellular vesicle (EV) preparations at the time of OS diagnosis, as a step towards an OS early detection assay. Sequencing of small nucleic acids extracted from serum EV preparations revealed increased representation of diverse repetitive element sequences in OS patient versus control sera. Analysis of a validation cohort using qPCR of PEG-precipitated EV preparations revealed the over-representation of HSATI, HSATII, LINE1-P1, and Charlie 3 at the DNA but not RNA level, with receiver operating characteristic (ROC) area under the curve (AUC)&gt;= 0.90. HSATI and HSATII DNAs co-purified with EVs prepared by precipitation and size exclusion chromatography but not by exosome immunocapture, indicative of packaging in a non-exosomal complex. The consistent over-representation of EV-associated repetitive element DNA sequences suggests their potential utility as biomarkers for OS and perhaps other cancers.</t>
  </si>
  <si>
    <t>[Cambier, Linda; Stachelek, Kevin; Triska, Martin; Cobrinik, David] Childrens Hosp Los Angeles, Vis Ctr, 4650 Sunset Blvd,MS163, Los Angeles, CA 90027 USA; [Cambier, Linda; Stachelek, Kevin; Triska, Martin; Cobrinik, David] Childrens Hosp Los Angeles, Saban Res Inst, 4650 Sunset Blvd,MS163, Los Angeles, CA 90027 USA; [Stachelek, Kevin; Cobrinik, David] Univ Southern Calif, Keck Sch Med, Canc Biol &amp; Genom Program, Los Angeles, CA 90089 USA; [Jubran, Rima] Childrens Hosp Los Angeles, Div Hematol Oncol, Los Angeles, CA 90027 USA; [Huang, Manyu; Li, Wuyin; Li, Jitian] Henan Luoyang Orthoped Hosp, Henan Prov Orthoped Hosp, Henan Prov Orthoped Inst, 82 Qiming Rd, Luoyang 471002, Henan, Peoples R China; [Zhang, Jianying; Li, Jitian] Univ Texas El Paso, Dept Biol Sci, El Paso, TX 79968 USA; [Cobrinik, David] Univ Southern Calif, Keck Sch Med, Dept Ophthalmol, Los Angeles, CA 90089 USA; [Cobrinik, David] Univ Southern Calif, Keck Sch Med, Roski Eye Inst, Los Angeles, CA 90089 USA; [Cobrinik, David] Univ Southern Calif, Keck Sch Med, Dept Biochem &amp; Mol Med, Los Angeles, CA 90089 USA; [Cobrinik, David] Univ Southern Calif, Keck Sch Med, Norris Comprehens Canc Ctr, Los Angeles, CA 90089 USA</t>
  </si>
  <si>
    <t>Children's Hospital Los Angeles; Children's Hospital Los Angeles; University of Southern California; Children's Hospital Los Angeles; University of Texas System; University of Texas El Paso; University of Southern California; University of Southern California; University of Southern California; University of Southern California</t>
  </si>
  <si>
    <t>Cobrinik, D (corresponding author), Childrens Hosp Los Angeles, Vis Ctr, 4650 Sunset Blvd,MS163, Los Angeles, CA 90027 USA.;Cobrinik, D (corresponding author), Childrens Hosp Los Angeles, Saban Res Inst, 4650 Sunset Blvd,MS163, Los Angeles, CA 90027 USA.;Cobrinik, D (corresponding author), Univ Southern Calif, Keck Sch Med, Canc Biol &amp; Genom Program, Los Angeles, CA 90089 USA.;Li, JT (corresponding author), Henan Luoyang Orthoped Hosp, Henan Prov Orthoped Hosp, Henan Prov Orthoped Inst, 82 Qiming Rd, Luoyang 471002, Henan, Peoples R China.;Li, JT (corresponding author), Univ Texas El Paso, Dept Biol Sci, El Paso, TX 79968 USA.;Cobrinik, D (corresponding author), Univ Southern Calif, Keck Sch Med, Dept Ophthalmol, Los Angeles, CA 90089 USA.;Cobrinik, D (corresponding author), Univ Southern Calif, Keck Sch Med, Roski Eye Inst, Los Angeles, CA 90089 USA.;Cobrinik, D (corresponding author), Univ Southern Calif, Keck Sch Med, Dept Biochem &amp; Mol Med, Los Angeles, CA 90089 USA.;Cobrinik, D (corresponding author), Univ Southern Calif, Keck Sch Med, Norris Comprehens Canc Ctr, Los Angeles, CA 90089 USA.</t>
  </si>
  <si>
    <t>jitianlee@hotmail.com; dcobrinik@chla.usc.edu</t>
  </si>
  <si>
    <t>Linda, Cambier/AAL-9928-2020</t>
  </si>
  <si>
    <t>Linda, Cambier/0000-0001-9482-1413; Li, Jitian/0000-0001-5005-2050; Stachelek, Kevin/0000-0003-2085-695X</t>
  </si>
  <si>
    <t>JAN 8</t>
  </si>
  <si>
    <t>10.1038/s41598-020-77398-z</t>
  </si>
  <si>
    <t>WOS:000634375500024</t>
  </si>
  <si>
    <t>Wang, Z; Deng, Z; Dahmane, N; Tsai, K; Wang, P; Williams, DR; Kossenkov, AV; Showe, LC; Zhang, RG; Huang, QH; Conejo-Garcia, JR; Lieberman, PM</t>
  </si>
  <si>
    <t>Wang, Zhuo; Deng, Zhong; Dahmane, Nadia; Tsai, Kevin; Wang, Pu; Williams, Dewight R.; Kossenkov, Andrew V.; Showe, Louise C.; Zhang, Rugang; Huang, Qihong; Conejo-Garcia, Jose R.; Lieberman, Paul M.</t>
  </si>
  <si>
    <t>Telomeric repeat-containing RNA (TERRA) constitutes a nucleoprotein component of extracellular inflammatory exosomes</t>
  </si>
  <si>
    <t>TERRA; telomere; exosome; innate immunity; cytokine</t>
  </si>
  <si>
    <t>MAMMALIAN TELOMERES; CELLULAR SENESCENCE; CANCER-CELLS; SECRETORY PHENOTYPE; IMMUNE-RESPONSES; DNA HYBRIDS; STEM-CELLS; TRANSCRIPTION; ASSOCIATION; ACTIVATION</t>
  </si>
  <si>
    <t>Telomeric repeat-containing RNA (TERRA) has been identified as a telomere-associated regulator of chromosome end protection. Here, we report that TERRA can also be found in extracellular fractions that stimulate innate immune signaling. We identified extracellular forms of TERRA in mouse tumor and embryonic brain tissue, as well as in human tissue culture cell lines using RNA in situ hybridization. RNA-seq analyses revealed TERRA to be among the most highly represented transcripts in extracellular fractions derived from both normal and cancer patient blood plasma. Cell-free TERRA (cfTERRA) could be isolated from the exosome fractions derived from human lymphoblastoid cell line (LCL) culture media. cfTERRA is a shorter form(similar to 200 nt) of cellular TERRA and copurifies with CD63- and CD83-positive exosome vesicles that could be visualized by cyro-electron microscopy. These fractions were also enriched for histone proteins that physically associate with TERRA in extracellular ChIP assays. Incubation of cfTERRA-containing exosomes with peripheral blood mononuclear cells stimulated transcription of several inflammatory cytokine genes, including TNF alpha, IL6, and C-X-C chemokine 10 (CXCL10) Exosomes engineered with elevated TERRA or liposomes with synthetic TERRA further stimulated inflammatory cytokines, suggesting that exosome-associated TERRA augments innate immune signaling. These findings imply a previously unidentified extrinsic function for TERRA and a mechanism of communication between telomeres and innate immune signals in tissue and tumor microenvironments.</t>
  </si>
  <si>
    <t>[Wang, Zhuo; Deng, Zhong; Tsai, Kevin; Wang, Pu; Kossenkov, Andrew V.; Showe, Louise C.; Zhang, Rugang; Huang, Qihong; Conejo-Garcia, Jose R.; Lieberman, Paul M.] Wistar Inst Anat &amp; Biol, Gene Express &amp; Regulat Program, Philadelphia, PA 19104 USA; [Wang, Zhuo] Univ Sci Philadelphia, Canc Biol Program, Philadelphia, PA 19104 USA; [Dahmane, Nadia] Univ Penn, Dept Neurosurg, Philadelphia, PA 19104 USA; [Williams, Dewight R.] Univ Penn, Dept Biochem &amp; Biophys, Philadelphia, PA 19104 USA</t>
  </si>
  <si>
    <t>The Wistar Institute; University of Pennsylvania; University of Pennsylvania</t>
  </si>
  <si>
    <t>Lieberman, PM (corresponding author), Wistar Inst Anat &amp; Biol, Gene Express &amp; Regulat Program, Philadelphia, PA 19104 USA.</t>
  </si>
  <si>
    <t>lieberman@wistar.org</t>
  </si>
  <si>
    <t>Wang, Zhuo/F-1759-2017; Tsai, Kevin/AAQ-4818-2021; Conejo-Garcia, Jose R/V-1897-2019</t>
  </si>
  <si>
    <t>Wang, Zhuo/0000-0002-8218-6819; Tsai, Kevin/0000-0003-1712-9153; Conejo-Garcia, Jose R/0000-0001-6431-4074</t>
  </si>
  <si>
    <t>NOV 17</t>
  </si>
  <si>
    <t>E6293</t>
  </si>
  <si>
    <t>E6300</t>
  </si>
  <si>
    <t>10.1073/pnas.1505962112</t>
  </si>
  <si>
    <t>WOS:000365170400008</t>
  </si>
  <si>
    <t>Kirikovich, SS; Taranov, OS; Omigov, VV; Potter, EA; Dolgova, EV; Proskurina, AS; Efremov, YR; Bogachev, SS</t>
  </si>
  <si>
    <t>Kirikovich, Svetlana S.; Taranov, Oleg S.; Omigov, Vladimir V.; Potter, Ekaterina A.; Dolgova, Evgenia V.; Proskurina, Anastasia S.; Efremov, Yaroslav R.; Bogachev, Sergey S.</t>
  </si>
  <si>
    <t>Ultrastructural analysis of the Krebs-2 ascites cancer cells treated with extracellular double-stranded DNA preparation</t>
  </si>
  <si>
    <t>ULTRASTRUCTURAL PATHOLOGY</t>
  </si>
  <si>
    <t>Ascites Krebs-2; double-stranded DNA; apoptosis; necrosis; electron microscopy</t>
  </si>
  <si>
    <t>APOPTOSIS; DEATH; CYCLOPHOSPHAMIDE; MICROVESICLES; MORPHOLOGY; RESPONSES; NECROSIS</t>
  </si>
  <si>
    <t>Electron-microscopic analysis of the ultrastructure of the Krebs-2 carcinoma ascites cells in the first 90 min immediately after their exposure to fragmented double-stranded DNA has been performed. Morphological attributes of the treated cancer cells indicate the induction in these cells of destructive processes of presumably apoptotic type. The predominance of dystrophic-destructive changes in cells after the addition of DNA is supposed to be a consequence of the disturbance in metabolic processes caused by the experimental action.</t>
  </si>
  <si>
    <t>[Kirikovich, Svetlana S.; Potter, Ekaterina A.; Dolgova, Evgenia V.; Proskurina, Anastasia S.; Efremov, Yaroslav R.; Bogachev, Sergey S.] Russian Acad Sci, Siberian Branch, Inst Cytol &amp; Genet, Novosibirsk, Russia; [Taranov, Oleg S.; Omigov, Vladimir V.] State Res Ctr Virol &amp; Biotechnol VECTOR, Rospotrebnadzor, Novosibirsk Reg, Russia; [Efremov, Yaroslav R.] Novosibirsk State Univ, Dept Nat Sci, Novosibirsk, Russia</t>
  </si>
  <si>
    <t>Russian Academy of Sciences; Institute of Cytology &amp; Genetics ICG SB RAS; State Research Center of Virology &amp; Biotechnology VECTOR; Novosibirsk State University</t>
  </si>
  <si>
    <t>Kirikovich, SS (corresponding author), 10 Lavrentiev Ave, Novosibirsk 630090, Russia.</t>
  </si>
  <si>
    <t>labmolbiol@mail.ru</t>
  </si>
  <si>
    <t>Potter, Ekaterina/AAP-4868-2020; Taranov, Oleg S/A-5657-2014; Omigov, Vladimir V/ABC-8325-2021; Taranov, Oleg/AAG-9798-2021; Dolgova, Evgeniya V/T-6788-2017; Bogachev, Sergey/T-3313-2017; Proskurina, Anastasia/H-3639-2015</t>
  </si>
  <si>
    <t>Potter, Ekaterina/0000-0003-1558-8655; Taranov, Oleg S/0000-0002-6746-8092; Dolgova, Evgeniya V/0000-0002-5543-248X; Proskurina, Anastasia/0000-0002-7650-4331; Efremov, Yaroslav R./0000-0002-0649-7543</t>
  </si>
  <si>
    <t>0191-3123</t>
  </si>
  <si>
    <t>1521-0758</t>
  </si>
  <si>
    <t>JAN 2</t>
  </si>
  <si>
    <t>10.1080/01913123.2019.1575499</t>
  </si>
  <si>
    <t>Microscopy; Pathology</t>
  </si>
  <si>
    <t>WOS:000468408400005</t>
  </si>
  <si>
    <t>Jingushi, K; Kawashima, A; Saito, T; Kanazawa, T; Motooka, D; Kimura, T; Mita, M; Yamamoto, A; Uemura, T; Yamamichi, G; Okada, K; Tomiyama, E; Koh, Y; Matsushita, M; Kato, T; Hatano, K; Uemura, M; Tsujikawa, K; Wada, H; Nonomura, N</t>
  </si>
  <si>
    <t>Jingushi, Kentaro; Kawashima, Atsunari; Saito, Takuro; Kanazawa, Takayuki; Motooka, Daisuke; Kimura, Tomonori; Mita, Masashi; Yamamoto, Akinaru; Uemura, Toshihiro; Yamamichi, Gaku; Okada, Koichi; Tomiyama, Eisuke; Koh, Yoko; Matsushita, Makoto; Kato, Taigo; Hatano, Koji; Uemura, Motohide; Tsujikawa, Kazutake; Wada, Hisashi; Nonomura, Norio</t>
  </si>
  <si>
    <t>Circulating extracellular vesicles carrying Firmicutes reflective of the local immune status may predict clinical response to pembrolizumab in urothelial carcinoma patients</t>
  </si>
  <si>
    <t>CANCER IMMUNOLOGY IMMUNOTHERAPY</t>
  </si>
  <si>
    <t>Immunotherapy; Firmicutes; Extracellular vesicles; Urothelial carcinoma; Bloodstream; Microbiome</t>
  </si>
  <si>
    <t>GUT; MICROBIOME; CANCER</t>
  </si>
  <si>
    <t>Bacterial flora has clinical significance for the host. The metabolic environment created by this flora influences immunotherapy in urothelial carcinoma. However, there are no reports on the clinical significance of bacterial flora in the host bloodstream. We aimed to clarify the correlation between extracellular vesicle (EV)-derived blood microflora information and tumor immunological status in urothelial carcinoma (UC) patients. Serum samples were collected from 20 healthy donors, 50 patients with localized UC, and 31 patients with metastatic UC (mUC) who had undergone pembrolizumab treatment. Bacterial DNA in EVs was extracted from each sample. Metagenomic sequencing was performed after amplification of the V1-V2 region of the bacterial 16S rRNA gene. Using the matched tumor tissue and serum samples, we revealed that the smaller amount of peripheral EVs carrying Firmicutes DNA was significantly correlated with the higher number of infiltrating T cells within tumor tissues (CD3; p = 0.015, CD4; p = 0.039, CD8; p = 0.0084) and the higher expression of activation markers on their surface (ICOS on both CD4; p = 0.0013 and CD8 T cells; p = 0.016 and 4-1BB on CD4 T cells; p = 0.016). In terms of circulating metabolic information, l-Ser and l-Pro levels, which play important roles in T cell expansion and proliferation, were significantly higher in the Firmicutes-low group (p = 0.010). All of the patients with higher Firmicutes abundance had disease progression without any clinical response (p = 0.026) and significantly inferior prognosis for pembrolizumab therapy (p = 0.035). This is the first study on the importance of peripheral bacterial EVs in cancer patients treated with cancer immunotherapy.</t>
  </si>
  <si>
    <t>[Jingushi, Kentaro; Tsujikawa, Kazutake] Osaka Univ, Grad Sch Pharmaceut Sci, Lab Mol &amp; Cellular Physiol, Suita, Osaka, Japan; [Kawashima, Atsunari; Yamamoto, Akinaru; Uemura, Toshihiro; Yamamichi, Gaku; Okada, Koichi; Tomiyama, Eisuke; Koh, Yoko; Matsushita, Makoto; Kato, Taigo; Hatano, Koji; Uemura, Motohide; Nonomura, Norio] Osaka Univ, Grad Sch Med, Dept Urol, Suita, Osaka, Japan; [Saito, Takuro] Osaka Univ, Grad Sch Med, Dept Surg, Suita, Osaka, Japan; [Saito, Takuro; Kanazawa, Takayuki; Wada, Hisashi] Osaka Univ, Grad Sch Med, Dept Clin Res Tumor Immunol, Suita, Osaka, Japan; [Kanazawa, Takayuki] Shionogi &amp; Co Ltd, Drug Discovery Sr Dis Res Lab, Toyonaka, Osaka, Japan; [Motooka, Daisuke] Osaka Univ, Res Inst Microbial Dis, Suita, Osaka, Japan; [Kimura, Tomonori] Natl Inst Biomed Innovat Hlth &amp; Nutr NIBIOHN, Reverse Translat Project, Ctr Rare Dis Res, Mino, Osaka, Japan; [Mita, Masashi] KAGAMI Inc, Ibaraki, Osaka, Japan</t>
  </si>
  <si>
    <t>Osaka University; Osaka University; Osaka University; Osaka University; Shionogi &amp; Company Limited; Osaka University</t>
  </si>
  <si>
    <t>Kawashima, A (corresponding author), Osaka Univ, Grad Sch Med, Dept Urol, Suita, Osaka, Japan.</t>
  </si>
  <si>
    <t>kawashima@uro.med.osaka-u.ac.jp</t>
  </si>
  <si>
    <t>Kawashima, Atsunari/0000-0001-9369-4264</t>
  </si>
  <si>
    <t>0340-7004</t>
  </si>
  <si>
    <t>1432-0851</t>
  </si>
  <si>
    <t>10.1007/s00262-022-03213-5</t>
  </si>
  <si>
    <t>MAY 2022</t>
  </si>
  <si>
    <t>Oncology; Immunology</t>
  </si>
  <si>
    <t>WOS:000800842600001</t>
  </si>
  <si>
    <t>Andre, MD; Pedro, A; Lyden, D</t>
  </si>
  <si>
    <t>Rueff, J; Rodrigues, AS</t>
  </si>
  <si>
    <t>Andre, Maria do Rosario; Pedro, Ana; Lyden, David</t>
  </si>
  <si>
    <t>Cancer Exosomes as Mediators of Drug Resistance</t>
  </si>
  <si>
    <t>CANCER DRUG RESISTANCE: OVERVIEWS AND METHODS</t>
  </si>
  <si>
    <t>Tumor microenvironment; Pre-metastatic niche; Tumor-derived exosomes; Drug resistance; Cell culture; Plasma; NanoSight microscope; Electron microscopy</t>
  </si>
  <si>
    <t>INTERSTITIAL FLUID PRESSURE; SOLID TUMORS; CELL INFILTRATION; GROWTH; PROLIFERATION; MICROVESICLES; BIOGENESIS; EXPRESSION; MECHANISM; PROTEINS</t>
  </si>
  <si>
    <t>In the last decades, several studies demonstrated that the tumor microenvironment is a critical determinant not only of tumor progression and metastasis, but also of resistance to therapy. Exosomes are small membrane vesicles of endocytic origin, which contain mRNAs, DNA fragments, and proteins, and are released by many different cell types, including cancer cells. Mounting evidence has shown that cancer-derived exosomes contribute to the recruitment and reprogramming of constituents associated with the tumor microenvironment. Understanding how exosomes and the tumor microenvironment impact drug resistance will allow novel and better strategies to overcome drug resistance and treat cancer. Here, we describe a technique for exosome purification from cell culture, and fresh and frozen plasma, and further analysis by electron microscopy, NanoSight microscope, and Western blot.</t>
  </si>
  <si>
    <t>[Andre, Maria do Rosario; Pedro, Ana; Lyden, David] Champalimaud Fdn, Lisbon, Portugal; [Andre, Maria do Rosario; Pedro, Ana; Lyden, David] Nova Univ, Dept Genet Oncol &amp; Human Toxicol, NOVA Med Sch, Fac Med Sci, Lisbon, Portugal</t>
  </si>
  <si>
    <t>Fundacao Champalimaud; Universidade Nova de Lisboa</t>
  </si>
  <si>
    <t>Andre, MD (corresponding author), Champalimaud Fdn, Lisbon, Portugal.;Andre, MD (corresponding author), Nova Univ, Dept Genet Oncol &amp; Human Toxicol, NOVA Med Sch, Fac Med Sci, Lisbon, Portugal.</t>
  </si>
  <si>
    <t>ANDRE, Rosario/0000-0003-3492-2153</t>
  </si>
  <si>
    <t>978-1-4939-3347-1; 978-1-4939-3345-7</t>
  </si>
  <si>
    <t>10.1007/978-1-4939-3347-1_13</t>
  </si>
  <si>
    <t>10.1007/978-1-4939-3347-1</t>
  </si>
  <si>
    <t>Biochemical Research Methods; Biochemistry &amp; Molecular Biology; Oncology; Pharmacology &amp; Pharmacy</t>
  </si>
  <si>
    <t>Biochemistry &amp; Molecular Biology; Oncology; Pharmacology &amp; Pharmacy</t>
  </si>
  <si>
    <t>WOS:000383048200014</t>
  </si>
  <si>
    <t>Neri, L; Spezia, PG; Suraci, S; Macera, L; Scribano, S; Giusti, B; Focosi, D; Maggi, F; Giannecchini, S</t>
  </si>
  <si>
    <t>Neri, Lorenzo; Spezia, Pietro Giorgio; Suraci, Samuele; Macera, Lisa; Scribano, Stefano; Giusti, Betti; Focosi, Daniele; Maggi, Fabrizio; Giannecchini, Simone</t>
  </si>
  <si>
    <t>Torque teno virus microRNA detection in cerebrospinal fluids of patients with neurological pathologies</t>
  </si>
  <si>
    <t>Anelloviridae; Torque teno virus; MicroRNA expression; Cerebrospinal fluid; Central nervous system</t>
  </si>
  <si>
    <t>STEM-CELL TRANSPLANTATION; TT-VIRUS; TORQUETENOVIRUS TTV; HUMAN ANELLOVIRUSES; HUMAN VIROME; BLOOD; IMMUNOSUPPRESSION; REPLICATION; VESICLES; EXOSOMES</t>
  </si>
  <si>
    <t>Background: Torque teno virus (TTV) is a widespread anellovirus that establishes persistent infections in humans and represents the most abundant component of the human virome. TTV encodes microRNAs (miRNA) which are found both in viremic and not viremic subjects being potentially ideal tools for the virus to evade the immune system response and to maintain chronic infection in the host. Objective: To investigate TTV-DNA loads and TTV-miRNAs expression in cerebrospinal fluids (CSF) from subjects under analysis for the assessment of neurological diseases. Study design: Detection of TTV-DNA and TTV-miRNAs (e. g. miRNA t1a, t3b, and tth8) were carried out from CSF samples of 93 subjects with neurological diseases by using universal real-time PCR, real-time RT-PCR, and next-generation sequencing (NGS) analyses. Results: TTV-DNA was detected in 11 of 93 (12 %) CSFs with a mean TTV load of 155 copies/mL. Conversely, 29 CSF samples (31 %) were positive for at least one TTV-miRNA, while 15 (16 %) CSFs contained all the TTVmiRNAs examined. Overall, TTV-miRNA tth8 was detected in 62 % of samples, followed by TTV miRNA t3b (56 %), and t1a (29 %). Interestingly, TTV-miRNAs were found in CSF samples that were negative for the presence of TTV-DNA. Next-generation sequencing analysis carried out from 4 TTV-DNA negative CSF samples detected reads mapped in TTV-miRNA sequences region. Conclusions: These results shed novel light on the relationship between TTV and the central nervous system and make compelling furthered studies for investigating the potential role of TTV-miRNAs in neurological disorders.</t>
  </si>
  <si>
    <t>[Neri, Lorenzo; Suraci, Samuele; Scribano, Stefano; Giusti, Betti; Giannecchini, Simone] Univ Florence, Dept Expt &amp; Clin Med, Florence, Italy; [Spezia, Pietro Giorgio; Macera, Lisa] Univ Pisa, Dept Translat Res, Pisa, Italy; [Focosi, Daniele] Univ Hosp Pisa, North Western Tuscany Blood Bank, Pisa, Italy; [Maggi, Fabrizio] Univ Insubria, Dept Med &amp; Surg, Varese, Italy; [Maggi, Fabrizio] ASST Sette Laghi, Lab Clin Microbiol, Varese, Italy</t>
  </si>
  <si>
    <t>University of Florence; University of Pisa; University of Pisa; Azienda Ospedaliero Universitaria Pisana; University of Insubria</t>
  </si>
  <si>
    <t>Giannecchini, S (corresponding author), Univ Firenze, Dipartimento Med Sperimentale &amp; Clin, Viale Morgagni 48, I-50134 Florence, Italy.</t>
  </si>
  <si>
    <t>Focosi, Daniele/K-6609-2016; Maggi, Fabrizio/L-2974-2013; Giannecchini, Simone/K-2136-2016; Maggi, Fabrizio/AAU-5965-2021</t>
  </si>
  <si>
    <t>Focosi, Daniele/0000-0001-8811-195X; Maggi, Fabrizio/0000-0001-7489-5271; Giannecchini, Simone/0000-0003-3374-7621; Maggi, Fabrizio/0000-0001-7489-5271; Spezia, Pietro Giorgio/0000-0002-6743-014X</t>
  </si>
  <si>
    <t>10.1016/j.jcv.2020.104687</t>
  </si>
  <si>
    <t>WOS:000598717200016</t>
  </si>
  <si>
    <t>Anand, K; Vadivalagan, C; Joseph, JS; Singh, SK; Gulati, M; Shahbaaz, M; Abdellattif, MH; Prasher, P; Gupta, G; Chellappan, DK; Dua, K</t>
  </si>
  <si>
    <t>Anand, Krishnan; Vadivalagan, Chithravel; Joseph, Jitcy Saji; Singh, Sachin Kumar; Gulati, Monica; Shahbaaz, Mohd; Abdellattif, Magda H.; Prasher, Parteek; Gupta, Gaurav; Chellappan, Dinesh Kumar; Dua, Kamal</t>
  </si>
  <si>
    <t>A novel nano therapeutic using convalescent plasma derived exosomal (CPExo) for COVID-19: A combined hyperactive immune modulation and diagnostics</t>
  </si>
  <si>
    <t>CHEMICO-BIOLOGICAL INTERACTIONS</t>
  </si>
  <si>
    <t>Exosomes; Convalescent plasma; Immunotherapy; COVID-19; Drug delivery; miRNAs; Diagnosis</t>
  </si>
  <si>
    <t>CORONAVIRUS; SURFACE; CELLS</t>
  </si>
  <si>
    <t>Extracellular vesicles like exosomes are important therapeutic tactics for treating COVID -19. By utilizing convalescent plasma derived exosomes (CPExo) from COVID-19 recovered persistence could accelerate the treatment strategies in the current state of affairs. Adequate literature has shown that administering the exosome to the in vivo system could be beneficial and could target the pathogens in an effective and precise manner. In this hypothesis we highlight the CPExo instead of convalescent plasma (CP), perhaps to dispense of exosomes are gratified and it's more effectively acquired immune response conferral through antibodies. COVID-19 convalescent plasma has billions of exosomes and it has aptitudes to carry molecular constituents like proteins, lipids, RNA and DNA, etc. Moreover, exosomes are capable of recognizing antigens with adequate sensitivity and specificity. Many of these derivatives could trigger an immune modulation into the cells and act as an epigenetic inheritor response to target pathogens through RNAs. COIVID-19 resistance activated plasma-derived exosomes are either responsible for the effects of plasma beyond the contained immune antibodies or could be inhibitory. The proposed hypothesis suggests that preselecting the plasma-derived antibodies and RNAs merged exosomes would be an optimized therapeutic tactic for COVID-19 patients. We suggest that, the CPExo has a multi-potential effect for treatment efficacy by acting as immunotherapeutic, drug carrier, and diagnostic target with noncoding genetic materials as a biomarker.</t>
  </si>
  <si>
    <t>[Anand, Krishnan] Univ Free State, Fac Hlth Sci, Sch Pathol, Dept Chem Pathol, Bloemfontein, South Africa; [Anand, Krishnan] Univ Free State, Natl Hlth Lab Serv, Bloemfontein, South Africa; [Vadivalagan, Chithravel] Taipei Med Univ, Coll Med, Grad Inst Med Sci, Taipei 11031, Taiwan; [Joseph, Jitcy Saji] Natl Inst Occupat Hlth NIOH, Dept Toxicol &amp; Biochem, Johannesburg, South Africa; [Singh, Sachin Kumar; Gulati, Monica] Lovely Profess Univ, Sch Pharmaceut Sci, Phagwara 144411, Punjab, India; [Shahbaaz, Mohd] Univ Western Cape, South African Natl Bioinformat Inst, South African Med Res Council, Bioinformat Unit, Private Bag X17, ZA-7535 Cape Town, South Africa; [Shahbaaz, Mohd] South Ural State Univ, Lab Computat Modeling Drugs, 76 Lenin Prospekt, Chelyabinsk 454080, Russia; [Abdellattif, Magda H.] Taif Univ, Coll Sci, Dept Chem, Sci Res, POB 11099, Al Haweiah 21944, Taif, Saudi Arabia; [Prasher, Parteek] Univ Petr &amp; Energy Studies, Dept Chem, Energy Acres, Dehra Dun 248007, Uttarakhand, India; [Gupta, Gaurav] Suresh Gyan Vihar Univ, Sch Pharm, Jagatpura Mahal Rd, Jaipur 302017, Rajasthan, India; [Chellappan, Dinesh Kumar] Int Med Univ, Sch Pharm, Kuala Lumpur 57000, Malaysia; [Dua, Kamal] Univ Technol Sydney, Grad Sch Hlth, Discipline Pharm, Ultimo, NSW 2007, Australia</t>
  </si>
  <si>
    <t>University of the Free State; University of the Free State; Taipei Medical University; Lovely Professional University; South African Medical Research Council; University of the Western Cape; South Ural State University; Taif University; University of Petroleum &amp; Energy Studies (UPES); International Medical University Malaysia; University of Technology Sydney</t>
  </si>
  <si>
    <t>Anand, K (corresponding author), Univ Free State, Fac Hlth Sci, Sch Pathol, Dept Chem Pathol, Bloemfontein, South Africa.;Anand, K (corresponding author), Univ Free State, Natl Hlth Lab Serv, Bloemfontein, South Africa.;Vadivalagan, C (corresponding author), Taipei Med Univ, Coll Med, Grad Inst Med Sci, Taipei 11031, Taiwan.</t>
  </si>
  <si>
    <t>organicanand@gmail.com; marinedrug.9@gmail.com</t>
  </si>
  <si>
    <t>Abdellattif, magda h/W-2267-2017; abdellattif, magda h/ABA-8660-2020</t>
  </si>
  <si>
    <t>abdellattif, magda h/0000-0002-8562-4749; VADIVALAGAN, Chithravel/0000-0002-1751-4361; Joseph, Jitcy Saji/0000-0001-9113-989X; Singh, Sachin/0000-0003-3823-6572</t>
  </si>
  <si>
    <t>0009-2797</t>
  </si>
  <si>
    <t>1872-7786</t>
  </si>
  <si>
    <t>AUG 1</t>
  </si>
  <si>
    <t>10.1016/j.cbi.2021.109497</t>
  </si>
  <si>
    <t>Biochemistry &amp; Molecular Biology; Pharmacology &amp; Pharmacy; Toxicology</t>
  </si>
  <si>
    <t>WOS:000670220100002</t>
  </si>
  <si>
    <t>Al-Mayah, A; Bright, S; Chapman, K; Irons, S; Luo, P; Carter, D; Goodwin, E; Kadhim, M</t>
  </si>
  <si>
    <t>Al-Mayah, Ammar; Bright, Scott; Chapman, Kim; Irons, Sarah; Luo, Ping; Carter, David; Goodwin, Edwin; Kadhim, Munira</t>
  </si>
  <si>
    <t>The non-targeted effects of radiation are perpetuated by exosomes</t>
  </si>
  <si>
    <t>MUTATION RESEARCH-FUNDAMENTAL AND MOLECULAR MECHANISMS OF MUTAGENESIS</t>
  </si>
  <si>
    <t>Exosomes; Ionising radiation; Genomic instability; Bystander effects; Exosome cargo</t>
  </si>
  <si>
    <t>MEMBRANE-DERIVED VESICLES; IONIZING-RADIATION; GENOMIC INSTABILITY; BYSTANDER RESPONSES; DIAGNOSTIC BIOMARKERS; IRRADIATED-CELLS; DENDRITIC CELLS; TUMOR-GROWTH; CANCER; MICROVESICLES</t>
  </si>
  <si>
    <t>Exosomes contain cargo material from endosomes, cytosol, plasma membrane and microRNA molecules, they are released by a number of non-cancer and cancer cells into both the extracellular microenvironment and body fluids such as blood plasma. Recently we demonstrated radiation-induced non-targeted effects [NTE: genomic instability (GI) and bystander effects (BE)] are partially mediated by exosomes, particularly the RNA content. However the mechanistic role of exosomes in NTE is yet to be fully understood. The present study used MCF7 cells to characterise the longevity of exosome-induced activity in the progeny of irradiated and unirradiated bystander cells. Exosomes extracted from conditioned media of irradiated and bystander progeny were added to unirradiated cells. Analysis was carried out at I and 20/24 population doublings following medium/exosome transfer for DNA/chromosomal damage. Results confirmed exosomes play a significant role in mediating NTE of ionising radiation (IR). This effect was remarkably persistent, observed &gt;20 doublings post-irradiation in the progeny of bystander cells. Additionally, cell progeny undergoing a BE were themselves capable of inducing BE in other cells via exosomes they released. Furthermore we investigated the role of exosome cargo. Culture media from cells exposed to 2 Gy X-rays was subjected to ultracentrifugation and four inoculants prepared, (a) supernatants with exosomes removed, and pellets with (b) exosome proteins denatured, (c) RNA degraded, and (d) a combination of protein-RNA inactivation. These were added to separate populations of unirradiated cells. The BE was partially inhibited when either exosome protein or exosome RNA were inactivated separately, whilst combined RNA-protein inhibition significantly reduced or eliminated the BE. These results demonstrate that exosomes are associated with long-lived signalling of the NTE of IR. Both RNA and protein molecules of exosomes work in a synergistic manner to initiate NTE, spread these effects to naive cells, and perpetuate GI in the affected cells. (C) 2015 Published by Elsevier B.V.</t>
  </si>
  <si>
    <t>[Al-Mayah, Ammar; Bright, Scott; Chapman, Kim; Kadhim, Munira] Oxford Brookes Univ, Genom Instabil Grp, Oxford OX3 0BP, England; [Irons, Sarah] Oxford Brookes Univ, Insect Virus Res Grp, Oxford OX3 0BP, England; [Luo, Ping] Magdalen Ctr, Lzon Sci Ltd, Oxford OX4 4GA, England; [Carter, David] Oxford Brookes Univ, Chromatin &amp; Noncoding RNA, Oxford OX3 0BP, England; [Goodwin, Edwin] New Mexico Consortium, Los Alamos, NM 87544 USA</t>
  </si>
  <si>
    <t>Oxford Brookes University; Oxford Brookes University; Oxford Brookes University</t>
  </si>
  <si>
    <t>Kadhim, M (corresponding author), Oxford Brookes Univ, Genom Instabil Grp, Gipsy Lane Campus, Oxford OX3 0BP, England.</t>
  </si>
  <si>
    <t>mkadhim@brookes.ac.uk</t>
  </si>
  <si>
    <t>Irons, Sarah/0000-0003-2720-9819</t>
  </si>
  <si>
    <t>0027-5107</t>
  </si>
  <si>
    <t>1873-135X</t>
  </si>
  <si>
    <t>10.1016/j.mrfmmm.2014.12.007</t>
  </si>
  <si>
    <t>Biotechnology &amp; Applied Microbiology; Genetics &amp; Heredity; Toxicology</t>
  </si>
  <si>
    <t>WOS:000352665900008</t>
  </si>
  <si>
    <t>Zhang, JL; Zhu, YF; Shi, JJ; Zhang, KX; Zhang, ZZ; Zhang, HL</t>
  </si>
  <si>
    <t>Zhang, Junli; Zhu, Yifan; Shi, Jinjin; Zhang, Kaixiang; Zhang, Zhenzhong; Zhang, Hongling</t>
  </si>
  <si>
    <t>Sensitive Signal Amplifying a Diagnostic Biochip Based on a Biomimetic Periodic Nanostructure for Detecting Cancer Exosomes</t>
  </si>
  <si>
    <t>ACS APPLIED MATERIALS &amp; INTERFACES</t>
  </si>
  <si>
    <t>exosomes; cancer detection; GPC1; photonic crystals; signal amplification</t>
  </si>
  <si>
    <t>SERUM EXTRACELLULAR VESICLES; CIRCULATING EXOSOMES; PHOTONIC CRYSTALS; CARCINOMA; EXPRESSION; MARKERS; BLOOD</t>
  </si>
  <si>
    <t>Tumor-derived exosomes are emerging noninvasive biomarker reservoirs that reflect biological information from their parental cells, especially specific markers, including proteins, DNA fragments and RNAs. Recently, analytical methods of tumor-derived exosomes have been increasing growth. However, developing a convenient signal amplification technique to improve the sensitivity of exosomes detection still remains a challenge. Herein, an ultrasensitive and specific exosomes diagnostic biochip is constructed and further applied to circulating tumor exosomes detection in serum. Using an exosomes diagnostic biochip, signal amplification is achieved by combining the advantages of quantum dots with the biomimetic periodic nanostructure of photonic crystals. Glypican-1 (GPC1), a membrane-anchored protein that is overexpressed in exosomes from pancreatic cancer, is detected using nanosized molecular beacons with high luminescence efficiency; then the signal is amplified through photonic crystals. Moreover, the method allows the quantitative analysis of various disease-specific surface proteins on exosomes. We believe that this exosomes diagnostic biochip is likely to have potential as an effective bioassay, which may be helpful for quantification of disease-specific exosomes in clinical use.</t>
  </si>
  <si>
    <t>[Zhang, Junli; Zhu, Yifan; Shi, Jinjin; Zhang, Kaixiang; Zhang, Zhenzhong; Zhang, Hongling] Zhengzhou Univ, Sch Pharmaceut Sci, Zhengzhou 450001, Henan, Peoples R China; [Zhang, Zhenzhong; Zhang, Hongling] Key Lab Targeting Therapy &amp; Diag Crit Dis, Zhengzhou 450001, Henan, Peoples R China</t>
  </si>
  <si>
    <t>Zhang, HL (corresponding author), Zhengzhou Univ, Sch Pharmaceut Sci, Zhengzhou 450001, Henan, Peoples R China.;Zhang, HL (corresponding author), Key Lab Targeting Therapy &amp; Diag Crit Dis, Zhengzhou 450001, Henan, Peoples R China.</t>
  </si>
  <si>
    <t>zhanghongling729@zzu.edu.cn</t>
  </si>
  <si>
    <t>1944-8244</t>
  </si>
  <si>
    <t>1944-8252</t>
  </si>
  <si>
    <t>JUL 29</t>
  </si>
  <si>
    <t>10.1021/acsami.0c06785</t>
  </si>
  <si>
    <t>Nanoscience &amp; Nanotechnology; Materials Science, Multidisciplinary</t>
  </si>
  <si>
    <t>Science &amp; Technology - Other Topics; Materials Science</t>
  </si>
  <si>
    <t>WOS:000557854700003</t>
  </si>
  <si>
    <t>Reategui, E; van der Vos, KE; Lai, CP; Zeinali, M; Atai, NA; Aldikacti, B; Floyd, FP; Khankhel, AH; Thapar, V; Hochberg, FH; Sequist, LV; Nahed, BV; Carter, BS; Toner, M; Balaj, L; Ting, DT; Breakefield, XO; Stott, SL</t>
  </si>
  <si>
    <t>Reategui, Eduardo; van der Vos, Kristan E.; Lai, Charles P.; Zeinali, Mahnaz; Atai, Nadia A.; Aldikacti, Berent; Floyd, Frederick P., Jr.; Khankhel, Aimal H.; Thapar, Vishal; Hochberg, Fred H.; Sequist, Lecia V.; Nahed, Brian V.; Carter, Bob S.; Toner, Mehmet; Balaj, Leonora; Ting, David T.; Breakefield, Xandra O.; Stott, Shannon L.</t>
  </si>
  <si>
    <t>Engineered nanointerfaces for microfluidic isolation and molecular profiling of tumor-specific extracellular vesicles</t>
  </si>
  <si>
    <t>EXOSOMES; MICROVESICLES; RNA; EGFRVIII; CAPTURE; DEVICE; CHIP; MICROVORTEX; RESISTANCE; SEPARATION</t>
  </si>
  <si>
    <t>Extracellular vesicles (EVs) carry RNA, DNA, proteins, and lipids. Specifically, tumor-derived EVs have the potential to be utilized as disease-specific biomarkers. However, a lack of methods to isolate tumor-specific EVs has limited their use in clinical settings. Here we report a sensitive analytical microfluidic platform ((HB)-H-EV-Chip) that enables tumor-specific EV-RNA isolation within 3 h. Using the (HB)-H-EV-Chip, we achieve 94% tumor-EV specificity, a limit of detection of 100 EVs per mu L, and a 10-fold increase in tumor RNA enrichment in comparison to other methods. Our approach allows for the subsequent release of captured tumor EVs, enabling downstream characterization and functional studies. Processing serum and plasma samples from glioblastoma multiforme (GBM) patients, we can detect the mutant EGFRvIII mRNA. Moreover, using next-generation RNA sequencing, we identify genes specific to GBM as well as transcripts that are hallmarks for the four genetic subtypes of the disease.</t>
  </si>
  <si>
    <t>[Reategui, Eduardo; Zeinali, Mahnaz; Aldikacti, Berent; Floyd, Frederick P., Jr.; Khankhel, Aimal H.; Toner, Mehmet; Stott, Shannon L.] Harvard Med Sch, Massachusetts Gen Hosp, Ctr Engn Med, Charlestown, MA 02129 USA; [Reategui, Eduardo; Zeinali, Mahnaz; Aldikacti, Berent; Floyd, Frederick P., Jr.; Khankhel, Aimal H.; Toner, Mehmet; Stott, Shannon L.] Harvard Med Sch, Boston, MA 02114 USA; [Reategui, Eduardo; Zeinali, Mahnaz; Floyd, Frederick P., Jr.; Khankhel, Aimal H.; Toner, Mehmet; Stott, Shannon L.] Harvard Med Sch, Massachusetts Gen Hosp, Dept Surg, Boston, MA 02114 USA; [Reategui, Eduardo; Zeinali, Mahnaz; Aldikacti, Berent; Thapar, Vishal; Sequist, Lecia V.; Nahed, Brian V.; Ting, David T.; Stott, Shannon L.] Harvard Med Sch, Massachusetts Gen Hosp, Canc Ctr, Boston, MA 02114 USA; [Reategui, Eduardo; Toner, Mehmet; Stott, Shannon L.] Harvard Med Sch, Shriners Hosp Children, Boston, MA 02114 USA; [van der Vos, Kristan E.; Lai, Charles P.; Atai, Nadia A.; Balaj, Leonora; Breakefield, Xandra O.] Harvard Med Sch, Massachusetts Gen Hosp, Neurodiscovery Ctr, Boston, MA 02124 USA; [Hochberg, Fred H.; Carter, Bob S.] Univ Calif San Diego, Dept Neurosurg, La Jolla, CA 92093 USA; [Sequist, Lecia V.; Stott, Shannon L.] Harvard Med Sch, Massachusetts Gen Hosp, Dept Med, Boston, MA 02114 USA; [Nahed, Brian V.] Harvard Med Sch, Massachusetts Gen Hosp, Dept Neurosurg, Boston, MA 02124 USA; [Breakefield, Xandra O.] Harvard Med Sch, Massachusetts Gen Hosp, Dept Neurol &amp; Radiol, Boston, MA 02114 USA; [Reategui, Eduardo] Ohio State Univ, Ctr Comprehens Canc, William G Lowrie Dept Chem &amp; Biomol Engn, Columbus, OH 43210 USA; [van der Vos, Kristan E.] Netherlands Canc Inst, Dept Mol Carcinogenesis, NL-1066 CX Amsterdam, Netherlands; [Lai, Charles P.] Acad Sinica, Inst Atom &amp; Mol Sci, Taipei 10617, Taiwan</t>
  </si>
  <si>
    <t>Harvard University; Massachusetts General Hospital; Harvard University; Harvard Medical School; Harvard University; Harvard Medical School; Massachusetts General Hospital; Harvard University; Harvard Medical School; Massachusetts General Hospital; Harvard University; Harvard Medical School; Harvard University; Harvard Medical School; Massachusetts General Hospital; University of California System; University of California San Diego; Harvard University; Harvard Medical School; Massachusetts General Hospital; Harvard University; Harvard Medical School; Massachusetts General Hospital; Harvard University; Harvard Medical School; Massachusetts General Hospital; James Cancer Hospital &amp; Solove Research Institute; Ohio State University; Netherlands Cancer Institute; Academia Sinica - Taiwan</t>
  </si>
  <si>
    <t>Stott, SL (corresponding author), Harvard Med Sch, Massachusetts Gen Hosp, Ctr Engn Med, Charlestown, MA 02129 USA.;Stott, SL (corresponding author), Harvard Med Sch, Boston, MA 02114 USA.;Stott, SL (corresponding author), Harvard Med Sch, Massachusetts Gen Hosp, Dept Surg, Boston, MA 02114 USA.;Stott, SL (corresponding author), Harvard Med Sch, Massachusetts Gen Hosp, Canc Ctr, Boston, MA 02114 USA.;Stott, SL (corresponding author), Harvard Med Sch, Shriners Hosp Children, Boston, MA 02114 USA.;Stott, SL (corresponding author), Harvard Med Sch, Massachusetts Gen Hosp, Dept Med, Boston, MA 02114 USA.</t>
  </si>
  <si>
    <t>sstott@mgh.harvard.edu</t>
  </si>
  <si>
    <t>Stott, Shannon L./AAC-5311-2019; Carter, Bob/AAB-4868-2021; Lai, Charles Pin-Kuang/D-5442-2017; Aldikacti, Berent/AAH-4738-2019; Nahed, Brian/E-4239-2014</t>
  </si>
  <si>
    <t>Carter, Bob/0000-0002-3586-1324; Lai, Charles Pin-Kuang/0000-0001-8050-7060; Reategui, Eduardo/0000-0002-8271-8205; Balaj, Leonora/0000-0003-0931-9715; Aldikacti, Berent/0000-0002-8916-8007; Nahed, Brian/0000-0001-8537-106X</t>
  </si>
  <si>
    <t>10.1038/s41467-017-02261-1</t>
  </si>
  <si>
    <t>WOS:000419949200002</t>
  </si>
  <si>
    <t>Leiblich, A</t>
  </si>
  <si>
    <t>Leiblich, Aaron</t>
  </si>
  <si>
    <t>Recent Developments in the Search for Urinary Biomarkers in Bladder Cancer</t>
  </si>
  <si>
    <t>CURRENT UROLOGY REPORTS</t>
  </si>
  <si>
    <t>Bladder cancer; Urinary biomarkers; Extracellular vesicles; Exosomes; MicroRNA</t>
  </si>
  <si>
    <t>IN-SITU HYBRIDIZATION; RECURRENT UROTHELIAL CANCER; IMAGING FLEXIBLE CYSTOSCOPY; EXTRACELLULAR VESICLES; VOIDED-URINE; FOLLOW-UP; CELL-CARCINOMA; CYTOLOGY; MARKER; SURVEILLANCE</t>
  </si>
  <si>
    <t>Purpose of Review This review aims to evaluate research surrounding the utility of urinary biomarkers to detect bladder cancer and predict recurrence. Recent Findings Recent research has focussed on the evaluation of genetic markers found in urine to provide diagnostic and prognostic information. Furthermore, the isolation and characterisation of extracellular vesicles (EVs) from the urine patients with bladder cancer provide an exciting new development in biomarker research that is set to expand in the coming years. Summary Current urinary biomarker research is a broad field that encompasses the evaluation of urinary proteins, DNA, RNA and EVs to detect signatures that can be used to predict the presence of bladder cancer and provide prognostic information. EVs in particular offer an exciting and novel perspective in the search for accurate bladder cancer biomarkers.</t>
  </si>
  <si>
    <t>[Leiblich, Aaron] Univ Oxford, Nuffield Dept Surg Sci, John Radcliffe Hosp, Oxford, England; [Leiblich, Aaron] Oxford Univ Hosp NHS Fdn Trust, Churchill Hosp, Dept Urol, Oxford, England</t>
  </si>
  <si>
    <t>University of Oxford; Oxford University Hospitals NHS Foundation Trust; University of Oxford</t>
  </si>
  <si>
    <t>Leiblich, A (corresponding author), Univ Oxford, Nuffield Dept Surg Sci, John Radcliffe Hosp, Oxford, England.;Leiblich, A (corresponding author), Oxford Univ Hosp NHS Fdn Trust, Churchill Hosp, Dept Urol, Oxford, England.</t>
  </si>
  <si>
    <t>aaron.leiblich@ox.ac.uk</t>
  </si>
  <si>
    <t>1527-2737</t>
  </si>
  <si>
    <t>1534-6285</t>
  </si>
  <si>
    <t>10.1007/s11934-017-0748-x</t>
  </si>
  <si>
    <t>WOS:000422920300002</t>
  </si>
  <si>
    <t>Wang, HZ; Zeng, JH; Huang, J; Cheng, H; Chen, B; Hu, X; He, XX; Zhou, Y; Wang, KM</t>
  </si>
  <si>
    <t>Wang, Huizhen; Zeng, Jiahao; Huang, Jin; Cheng, Hong; Chen, Biao; Hu, Xing; He, Xiaoxiao; Zhou, Yue; Wang, Kemin</t>
  </si>
  <si>
    <t>A Self-Serviced-Track 3D DNA Walker for Ultrasensitive Detection of Tumor Exosomes by Glycoprotein Profiling</t>
  </si>
  <si>
    <t>ANGEWANDTE CHEMIE-INTERNATIONAL EDITION</t>
  </si>
  <si>
    <t>3D DNA Walker; Glycoproteins; Self-Serviced-Track; Tumor Exosomes; Ultrasensitive Detection</t>
  </si>
  <si>
    <t>NANOMACHINE; CELLS</t>
  </si>
  <si>
    <t>Sensitive and accurate analysis of low-concentration of tumor-derived exosomes (Exos) in biofluids is essential for noninvasive cancer diagnosis but is still challenging due to the lack of high-sensitive methods with low-cost and easy-operation. Herein, exploiting target Exos as a three-dimensional (3D) track for the first time, we developed a self-serviced-track DNA walker (STDW) for wash-free detection of tumor Exos using exosomal glycoprotein, which was enabled by split aptamer-recognition-initiated autonomous running powered by a catalytic hairpin assembly (CHA). Benefiting from high selectivity and sensitivity of the STDW assay, direct detection of tumor Exos in cell culture medium and serum could also be realized. Furthermore, this method exhibited high accuracy in clinical sample analysis, offering the potential for early cancer diagnosis and postoperative response prediction.</t>
  </si>
  <si>
    <t>[Wang, Huizhen; Zeng, Jiahao; Huang, Jin; Cheng, Hong; Chen, Biao; He, Xiaoxiao; Wang, Kemin] Hunan Univ, Coll Biol, State Key Lab Chemo Biosensing &amp; Chemometr, Coll Chem &amp; Chem Engn,Key Lab Bionanotechnol &amp; Mo, Changsha, Peoples R China; [Zhou, Yue] Cent South Univ, Hunan Canc Hosp, Affiliated Canc Hosp, Xiangya Sch Med, Changsha, Peoples R China; [Hu, Xing] Changsha Meixihu Sanz Rehabil Hosp, Changsha, Peoples R China</t>
  </si>
  <si>
    <t>Hunan University; Central South University</t>
  </si>
  <si>
    <t>He, XX; Wang, KM (corresponding author), Hunan Univ, Coll Biol, State Key Lab Chemo Biosensing &amp; Chemometr, Coll Chem &amp; Chem Engn,Key Lab Bionanotechnol &amp; Mo, Changsha, Peoples R China.;Zhou, Y (corresponding author), Cent South Univ, Hunan Canc Hosp, Affiliated Canc Hosp, Xiangya Sch Med, Changsha, Peoples R China.</t>
  </si>
  <si>
    <t>xiaoxiaohe@hnu.edu.cn; yuezhoumed@outlook.com; kmwang@hnu.edu.cn</t>
  </si>
  <si>
    <t>1433-7851</t>
  </si>
  <si>
    <t>1521-3773</t>
  </si>
  <si>
    <t>e202116932</t>
  </si>
  <si>
    <t>10.1002/anie.202116932</t>
  </si>
  <si>
    <t>MAR 2022</t>
  </si>
  <si>
    <t>Chemistry, Multidisciplinary</t>
  </si>
  <si>
    <t>WOS:000767681000001</t>
  </si>
  <si>
    <t>Keller, MD; Ching, KL; Liang, FX; Dhabaria, A; Tam, K; Ueberheide, BM; Unutmaz, D; Torres, VJ; Cadwell, K</t>
  </si>
  <si>
    <t>Keller, Matthew D.; Ching, Krystal L.; Liang, Feng-Xia; Dhabaria, Avantika; Tam, Kayan; Ueberheide, Beatrix M.; Unutmaz, Derya; Torres, Victor J.; Cadwell, Ken</t>
  </si>
  <si>
    <t>Decoy exosomes provide protection against bacterial toxins</t>
  </si>
  <si>
    <t>NATURE</t>
  </si>
  <si>
    <t>AUTOPHAGY; RECEPTOR; MECHANISM; VESICLES; CELLS</t>
  </si>
  <si>
    <t>The production of pore-forming toxins that disrupt the plasma membrane of host cells is a common virulence strategy for bacterial pathogens such as methicillin-resistant Staphylococcus aureus (MRSA)(1-3). It is unclear, however, whether host species possess innate immune mechanisms that can neutralize pore-forming toxins during infection. We previously showed that the autophagy protein ATG16L1 is necessary for protection against MRSA strains encoding alpha-toxin(4)-a pore-forming toxin that binds the metalloprotease ADAM10 on the surface of a broad range of target cells and tissues(2,5,6). Autophagy typically involves the targeting of cytosolic material to the lysosome for degradation. Here we demonstrate that ATG16L1 and other ATG proteins mediate protection against alpha-toxin through the release of ADAM10 on exosomes-extracellular vesicles of endosomal origin. Bacterial DNA and CpG DNA induce the secretion of ADAM10-bearing exosomes from human cells as well as in mice. Transferred exosomes protect host cells in vitro by serving as scavengers that can bind multiple toxins, and improve the survival of mice infected with MRSA in vivo. These findings indicate that ATG proteins mediate a previously unknown form of defence in response to infection, facilitating the release of exosomes that serve as decoys for bacterially produced toxins.</t>
  </si>
  <si>
    <t>[Keller, Matthew D.; Ching, Krystal L.; Tam, Kayan; Torres, Victor J.; Cadwell, Ken] NYU, Sch Med, Dept Microbiol, New York, NY 10016 USA; [Keller, Matthew D.; Ching, Krystal L.; Cadwell, Ken] NYU, Sch Med, Skirball Inst, Kimmel Ctr Biol &amp; Med, New York, NY 10016 USA; [Liang, Feng-Xia; Dhabaria, Avantika; Ueberheide, Beatrix M.] New York Univ Langone Hlth, Div Adv Res Technol, New York, NY USA; [Liang, Feng-Xia] New York Univ Langone Hlth, Microscopy Labratory, New York, NY USA; [Dhabaria, Avantika; Ueberheide, Beatrix M.] New York Univ Langone Hlth, Prote Lab, New York, NY USA; [Ueberheide, Beatrix M.] Laura &amp; Isaac Perlmutter Canc Ctr, New York, NY USA; [Unutmaz, Derya] Jackson Lab Genom Med, Farmington, CT USA; [Cadwell, Ken] New York Univ Langone Hlth, Dept Med, Div Gastroenterol &amp; Hepatol, New York, NY 10016 USA</t>
  </si>
  <si>
    <t>New York University; New York University; New York University; New York University; New York University; New York University</t>
  </si>
  <si>
    <t>Torres, VJ; Cadwell, K (corresponding author), NYU, Sch Med, Dept Microbiol, New York, NY 10016 USA.;Cadwell, K (corresponding author), NYU, Sch Med, Skirball Inst, Kimmel Ctr Biol &amp; Med, New York, NY 10016 USA.;Cadwell, K (corresponding author), New York Univ Langone Hlth, Dept Med, Div Gastroenterol &amp; Hepatol, New York, NY 10016 USA.</t>
  </si>
  <si>
    <t>Victor.Torres@nyulangone.org; Ken.Cadwell@nyulangone.org</t>
  </si>
  <si>
    <t>Ueberheide, Beatrix/0000-0003-2512-0204; Cadwell, Ken/0000-0002-5860-0661; Liang, Fengxia/0000-0003-0037-4590; Ching, Krystal/0000-0002-1181-0119; Torres, Victor/0000-0002-7126-0489; Unutmaz, Derya/0000-0001-8898-6633; Tam, Kayan/0000-0003-0534-1691</t>
  </si>
  <si>
    <t>0028-0836</t>
  </si>
  <si>
    <t>1476-4687</t>
  </si>
  <si>
    <t>10.1038/s41586-020-2066-6</t>
  </si>
  <si>
    <t>MAR 2020</t>
  </si>
  <si>
    <t>WOS:000518098200002</t>
  </si>
  <si>
    <t>Alves, MBR; de Arruda, RP; Batissaco, L; Garcia-Oliveros, LN; Gonzaga, VHG; Nogueira, VJM; Almeida, FD; Pinto, SCC; Andrade, GM; Perecin, F; da Silveira, JC; Celeghini, ECC</t>
  </si>
  <si>
    <t>Rodrigues Alves, Maira Bianchi; de Arruda, Rubens Paes; Batissaco, Leonardo; Garcia-Oliveros, Laura Nataly; Guilger Gonzaga, Vitor Hugo; Moreira Nogueira, Vinicius Jose; Almeida, Flavia dos Santos; Costa Pinto, Samara Cristine; Andrade, Gabriella Mamede; Perecin, Felipe; da Silveira, Juliano Coelho; Carvalho Celeghini, Eneiva Carla</t>
  </si>
  <si>
    <t>Changes in miRNA levels of sperm and small extracellular vesicles of seminal plasma are associated with transient scrotal heat stress in bulls</t>
  </si>
  <si>
    <t>THERIOGENOLOGY</t>
  </si>
  <si>
    <t>Epididymis; Epididymosomes; Exosomes; microRNAs; Semen; Testicular thermoregulation</t>
  </si>
  <si>
    <t>EXPRESSION PROFILES; DNA INTEGRITY; SEMEN QUALITY; BOS-INDICUS; EPIDIDYMOSOMES; SPERMATOZOA; INSULATION; MICRORNAS; MICROVESICLES; TEMPERATURE</t>
  </si>
  <si>
    <t>Scrotal heat stress affects spermatogenesis and impairs male fertility by increasing sperm morphological abnormalities, oxidative stress and DNA fragmentation. While sperm morpho-functional changes triggered by scrotal heat stress are well described, sperm molecular alterations remain unknown. Recently, spermatozoa were described as accumulating miRNAs during the last steps of spermatogenesis and through epididymis transit, mainly by communication with small extracellular vesicles (sEVs). Herein, the aim was to investigate the impact of scrotal heat stress in miRNAs profile of sperm, as well as, seminal plasma sEVs. Six Nelore bulls (Bos indicus) were divided into two groups: Control (CON; n = 3) and Scrotal Heat Stress (SHS; n = 3; scrotal heat stressed during 96 h by scrotal bags). The day that the scrotal bags were removed from SHS group was considered as D0 (Day zero). Seminal plasma sEVs were isolated from semen samples collected seven days after heat stress (D+7) to evaluate sEVs diameter, concentration, and 380 miRNA levels. Sperm morpho-functional features and profile of 380 miRNAs were evaluated from semen collected 21 days after heat stress (D+21). As a control, sEVs and sperm were analyzed seven days before heat stress (D-7). Only semen parameters that were not significantly different (P &gt; 0.05) among bulls on D-7 were addressed on D+7 and D+21. While no alterations in diameter and concentration were detected in sEVs on D+7 between CON and SHS groups, three sEVs-miRNAs (miR-23b-5p, -489 and -1248) were down-regulated in SHS bulls compared to CON on D+7; other three (miR-126-5p, -656 and -1307) displayed a tendency (0.05 &lt; P &lt; 0.10) to be altered. Sperm oxidative stress was higher, and the level of 21 sperm miRNAs was altered (18 down-, 3 up-regulated) in SHS bulls compared to CON on D+21. Functional analysis indicated that target genes involved in transcription activation, as well as cell proliferation and differentiation were related to the 18 down-regulated sperm miRNAs (miR-9-5p, -15a, -18a, -20b, -30a-5p, -30b-5p, -30d, -30e-5p -34b, -34c, -106b, -126-5p, -146a, -191, -192, -200b, -335 and -449a). Thus, the scrotal heat stress probably impacted testicular and epididymis functions by reducing the levels of a substantial proportion of sEVs and sperm miRNAs. Our findings suggest that miR-126-5p was possibly trafficked between sEVs and sperm and provide new insights on the mechanism by which sperm acquire miRNAs in the last stages of spermatogenesis and sperm maturation in cattle. (C) 2020 Elsevier Inc. All rights reserved.</t>
  </si>
  <si>
    <t>[Rodrigues Alves, Maira Bianchi; de Arruda, Rubens Paes; Batissaco, Leonardo; Garcia-Oliveros, Laura Nataly; Guilger Gonzaga, Vitor Hugo; Moreira Nogueira, Vinicius Jose; Almeida, Flavia dos Santos; Costa Pinto, Samara Cristine; Carvalho Celeghini, Eneiva Carla] Univ Sao Paulo, Sch Vet Med &amp; Anim Sci, Dept Anim Reprod, Sao Paulo, Brazil; [Andrade, Gabriella Mamede; Perecin, Felipe; da Silveira, Juliano Coelho] Univ Sao Paulo, Sch Anim Sci &amp; Food Engn, Dept Vet Med, Sao Paulo, Brazil</t>
  </si>
  <si>
    <t>Universidade de Sao Paulo; Universidade de Sao Paulo</t>
  </si>
  <si>
    <t>Celeghini, ECC (corresponding author), Univ Sao Paulo, Sch Vet Med &amp; Anim Sci, Dept Anim Reprod, Sao Paulo, Brazil.</t>
  </si>
  <si>
    <t>maira.bianchi@gmail.com; arrudarp@usp.br; leonardo.batissaco@usp.br; natalygarcia624@gmail.com; vitorhugomedvet@gmail.com; vnogueira86@gmail.com; flavia.s.almeida@hotmail.com; scristinecostapinto@usp.br; gabriellamamede@gmail.com; fperecin@usp.br; julianodasilveira@usp.br; celeghin@usp.br</t>
  </si>
  <si>
    <t>Alves, Maíra Bianchi Rodrigues/AAM-8213-2020; Celeghini, Eneiva Carla Carvalho/D-9010-2012; Da Silveira, Juliano/AAH-9784-2020; Perecin, Felipe/C-7268-2012</t>
  </si>
  <si>
    <t>Celeghini, Eneiva Carla Carvalho/0000-0003-1531-5497; Da Silveira, Juliano/0000-0002-4796-6393; Perecin, Felipe/0000-0003-2009-5863; Batissaco, Leonardo/0000-0001-8041-6732</t>
  </si>
  <si>
    <t>0093-691X</t>
  </si>
  <si>
    <t>1879-3231</t>
  </si>
  <si>
    <t>10.1016/j.theriogenology.2020.11.015</t>
  </si>
  <si>
    <t>Reproductive Biology; Veterinary Sciences</t>
  </si>
  <si>
    <t>WOS:000608745000004</t>
  </si>
  <si>
    <t>Chen, C; Zong, SF; Liu, Y; Wang, ZY; Zhang, YZ; Chen, BA; Cui, YP</t>
  </si>
  <si>
    <t>Chen, Chen; Zong, Shenfei; Liu, Yun; Wang, Zhuyuan; Zhang, Yizhi; Chen, Baoan; Cui, Yiping</t>
  </si>
  <si>
    <t>Profiling of Exosomal Biomarkers for Accurate Cancer Identification: Combining DNA-PAINT with Machine- Learning-Based Classification</t>
  </si>
  <si>
    <t>SMALL</t>
  </si>
  <si>
    <t>biomarkers; cancer diagnosis; DNA-PAINT; exosomes; machine learning</t>
  </si>
  <si>
    <t>SINGLE; SUPERRESOLUTION; MICROSCOPY; PREPARE</t>
  </si>
  <si>
    <t>Exosomes are endosome-derived vesicles enriched in body fluids such as urine, blood, and saliva. So far, they have been recognized as potential biomarkers for cancer diagnostics. However, the present single-variate analysis of exosomes has greatly limited the accuracy and specificity of diagnoses. Besides, most diagnostic approaches focus on bulk analysis using lots of exosomes and tend to be less accurate because they are vulnerable to impure extraction and concentration differences of exosomes. To address these challenges, a quantitative analysis platform is developed to implement a sequential quantification analysis of multiple exosomal surface biomarkers at the single-exosome level, which utilizes DNA-PAINT and a machine learning algorithm to automatically analyze the results. As a proof of concept, the profiling of four exosomal surface biomarkers (HER2, GPC-1, EpCAM, EGFR) is developed to identify exosomes from cancer-derived blood samples. Then, this technique is further applied to detect pancreatic cancer and breast cancer from unknown samples with 100% accuracy.</t>
  </si>
  <si>
    <t>[Chen, Chen; Zong, Shenfei; Liu, Yun; Wang, Zhuyuan; Zhang, Yizhi; Cui, Yiping] Southeast Univ, Adv Photon Ctr, Nanjing 210096, Jiangsu, Peoples R China; [Chen, Baoan] Southeast Univ, Sch Med, Dept Hematol &amp; Oncol, Zhongda Hosp, Nanjing 210009, Jiangsu, Peoples R China</t>
  </si>
  <si>
    <t>Southeast University - China; Southeast University - China</t>
  </si>
  <si>
    <t>Zong, SF; Cui, YP (corresponding author), Southeast Univ, Adv Photon Ctr, Nanjing 210096, Jiangsu, Peoples R China.</t>
  </si>
  <si>
    <t>sfzong@seu.edu.cn; cyp@seu.edu.cn</t>
  </si>
  <si>
    <t>1613-6810</t>
  </si>
  <si>
    <t>1613-6829</t>
  </si>
  <si>
    <t>10.1002/smll.201901014</t>
  </si>
  <si>
    <t>WOS:000484852100001</t>
  </si>
  <si>
    <t>Nguyen, B; Meehan, K; Pereira, MR; Mirzai, B; Lim, SH; Leslie, C; Clark, M; Sader, C; Friedland, P; Lindsay, A; Tang, C; Millward, M; Gray, ES; Lim, AM</t>
  </si>
  <si>
    <t>Nguyen, Bella; Meehan, Katie; Pereira, Michelle R.; Mirzai, Bob; Lim, Si Hong; Leslie, Connull; Clark, Michael; Sader, Chady; Friedland, Peter; Lindsay, Andrew; Tang, Colin; Millward, Michael; Gray, Elin S.; Lim, Annette M.</t>
  </si>
  <si>
    <t>A comparative study of extracellular vesicle-associated and cell-free DNA and RNA for HPV detection in oropharyngeal squamous cell carcinoma</t>
  </si>
  <si>
    <t>HUMAN-PAPILLOMAVIRUS DNA; MUTANT KRAS; CANCER; GUIDELINE; EXOSOMES; SERUM</t>
  </si>
  <si>
    <t>Purpose: This study compares the detection sensitivity of two separate liquid biopsy sources, cell-free (cf) DNA/RNA and extracellular vesicle (EV)-associated DNA/RNA (EV-DNA/RNA), to identify circulating Human Papilloma Virus (HPV) DNA/RNA in plasma obtained from patients with oropharyngeal squamous cell carcinoma (OPCSCC). We also report on the longitudinal changes observed in HPV-DNA levels in response to treatment. Experimental design: A prospective study was conducted that included 22 patients with locally advanced disease and six patients with metastatic OPCSCC. Twenty-three patients had HPV-related OPCSCC defined by p16 immunohistochemistry. Levels of circulating HPV-DNA and HPV-RNA from plasma-derived cf-DNA/RNA and EV-DNA/RNA were quantified using digital droplet PCR. Results: Circulating HPV-DNA was detected with higher sensitivity in cf-DNA compared to EV-DNA at 91% vs. 42% (p= &lt;0.001). Similarly, circulating tumoral HPV-RNA was detected at a higher sensitivity in cf-RNA compared to EV-RNA, at 83% vs. 50% (p=0.0019). In the locally advanced cohort, 100% (n=16) of HPV-OPCSCC patients demonstrated a reduction in circulating HPV-DNA levels in cf-DNA following curative treatment, with 81% of patients demonstrating complete clearance to undetectable levels. However, in metastatic HPV-OPCSCC patients (n=4), HPV-DNA levels did not correlate with treatment response. Conclusion: Our study demonstrates that although HPV-DNA/RNA can be detected in EV associated DNA/RNA, cf-DNA/RNA is the more sensitive liquid biopsy medium. As circulating HPV-DNA levels were found to only correlate with treatment response in the locally advanced but not metastatic setting in our small cohort of patients, the use of HPV-DNA as a dynamic biomarker to monitor treatment response requires further evaluation.</t>
  </si>
  <si>
    <t>[Nguyen, Bella; Millward, Michael; Lim, Annette M.] Sir Charles Gairdner Hosp, Dept Med Oncol, Perth, WA, Australia; [Nguyen, Bella; Meehan, Katie; Mirzai, Bob] Univ Western Australia, Sch Biomed Sci, Perth, WA, Australia; [Meehan, Katie] Chinese Univ Hong Kong, Shatin, Hong Kong, Peoples R China; [Pereira, Michelle R.; Clark, Michael; Tang, Colin; Gray, Elin S.] Edith Cowan Univ, Sch Med &amp; Hlth Sci, Joondalup, WA, Australia; [Lim, Si Hong] Telethon Kids Inst, Genom Western Australia, Perth, WA, Australia; [Leslie, Connull] Univ Western Australia, Sch Pathol &amp; Lab Med, Perth, WA, Australia; [Mirzai, Bob; Leslie, Connull] QEII Med Ctr, PathWest, Dept Anat Pathol, Perth, WA, Australia; [Sader, Chady; Friedland, Peter] Sir Charles Gairdner Hosp, Dept Otolaryngol Head &amp; Neck Surg, Perth, WA, Australia; [Sader, Chady] St John God Murdoch Hosp, Dept Otolaryngol Head &amp; Neck Surg, Perth, WA, Australia; [Friedland, Peter] Univ Western Australia, Fac Med &amp; Hlth Sci, Perth, WA, Australia; [Friedland, Peter] Univ Notre Dame, Sch Med, Fremantle, WA, Australia; [Lindsay, Andrew] Hollywood Private Hosp, Dept Otolaryngol Head &amp; Neck Surg, Perth, WA, Australia; [Tang, Colin] Sir Charles Gairdner Hosp, Dept Radiat Oncol, Perth, WA, Australia; [Millward, Michael] Univ Western Australia, Sch Med, Perth, WA, Australia; [Lim, Annette M.] Peter MacCallum Canc Ctr, Dept Med Oncol, Melbourne, Vic, Australia; [Lim, Annette M.] Univ Melbourne, Sir Peter MacCallum Dept Oncol, Melbourne, Vic, Australia</t>
  </si>
  <si>
    <t>University of Western Australia; University of Western Australia; Chinese University of Hong Kong; Edith Cowan University; Telethon Kids Institute; University of Western Australia; University of Western Australia; St John of God Health Care; University of Western Australia; University of Notre Dame Australia; University of Western Australia; University of Western Australia; Peter Maccallum Cancer Center; Peter Maccallum Cancer Center; University of Melbourne</t>
  </si>
  <si>
    <t>Lim, AM (corresponding author), Sir Charles Gairdner Hosp, Dept Med Oncol, Perth, WA, Australia.;Lim, AM (corresponding author), Peter MacCallum Canc Ctr, Dept Med Oncol, Melbourne, Vic, Australia.;Lim, AM (corresponding author), Univ Melbourne, Sir Peter MacCallum Dept Oncol, Melbourne, Vic, Australia.</t>
  </si>
  <si>
    <t>Annette.Lim@petermac.org</t>
  </si>
  <si>
    <t>Meehan, Katie/H-5431-2014</t>
  </si>
  <si>
    <t>Meehan, Katie/0000-0002-9179-4592; Gray, Elin/0000-0002-8613-3570; Clark, Michael/0000-0002-9748-5221; Tang, Colin/0000-0002-4643-0466</t>
  </si>
  <si>
    <t>APR 8</t>
  </si>
  <si>
    <t>10.1038/s41598-020-63180-8</t>
  </si>
  <si>
    <t>WOS:000559751400007</t>
  </si>
  <si>
    <t>Chen, J; Meng, HM; An, Y; Geng, X; Zhao, KR; Qu, LB; Li, ZH</t>
  </si>
  <si>
    <t>Chen, Juan; Meng, Hong-Min; An, Ying; Geng, Xin; Zhao, Keran; Qu, Lingbo; Li, Zhaohui</t>
  </si>
  <si>
    <t>Structure-switching aptamer triggering hybridization displacement reaction for label-free detection of exosomes</t>
  </si>
  <si>
    <t>Exosomes; Aptamer; Label-free; Fluorescent sensor; Quantitative detection</t>
  </si>
  <si>
    <t>EXTRACELLULAR VESICLES; MOLECULAR RECOGNITION; FLUORESCENCE; SURFACE; STRATEGY</t>
  </si>
  <si>
    <t>Exosomes play important roles in intercellular communications, tumor migration and invasion. However, the specific detection of cancer exosomes remains as a big challenge due to its low concentration in biofluids. Therefore, the sensitive and selective detection of cancer cells-derived exosomes has attracted growing attention owing to their potential in diagnostic and prognostic applications. Activatable strategies have received great attention for the detection of low abundant analytes due to their high sensitivity. Herein, based on molecular recognition between DNA aptamer and exosome surface biomarker (protein tyrosine kinase-7), a novel activatable and label-free strategy was designed for highly sensitive and specific sensing of exosomes. In this work, the target exosomes trigger strand replacement reaction to form G-quadruplex, which result in an obvious fluorescence enhancement of N-methylmesoporphyrin IX due to the bonding between G-quadruplex and N-methylmesoporphyrin IX. Under the optimum experimental conditions, the linear range for exosomes was measured to be 5.0 x 10(5)-5.0 x 10(7) particles/mu L and the detection limit (LOD) was calculated to be 3.4 x 10(5) particles/mu L (3 sigma). This assay possesses high specificity to distinguish exosomes derived from different cell lines, and has successfully been validated in patient and healthy plasma samples. Furthermore, the probe can effectively detect the exosomes in 30% fetal bovine serum, indicating that the biological matrix has a negligible effect on this method. This developed label-free, convenient and highly sensitive biosensor will offer a great opportunity for exosomes quantification in biological study and clinical application.</t>
  </si>
  <si>
    <t>[Chen, Juan; Meng, Hong-Min; An, Ying; Geng, Xin; Qu, Lingbo; Li, Zhaohui] Zhengzhou Univ, Inst Chem Biol &amp; Clin Applicat, Affiliated Hosp 1,Coll Chem, Henan Joint Int Res Lab Green Construct Funct Mol, Zhengzhou 450001, Peoples R China; [Zhao, Keran] Xi An Jiao Tong Univ, Sch Mat Sci &amp; Engn, Xian 710049, Peoples R China</t>
  </si>
  <si>
    <t>Zhengzhou University; Xi'an Jiaotong University</t>
  </si>
  <si>
    <t>Meng, HM; Li, ZH (corresponding author), Zhengzhou Univ, Inst Chem Biol &amp; Clin Applicat, Affiliated Hosp 1,Coll Chem, Henan Joint Int Res Lab Green Construct Funct Mol, Zhengzhou 450001, Peoples R China.</t>
  </si>
  <si>
    <t>hmmeng2017@zzu.edu.cn; zhaohui.li@zzu.edu.cn</t>
  </si>
  <si>
    <t>MAR 1</t>
  </si>
  <si>
    <t>10.1016/j.talanta.2019.120510</t>
  </si>
  <si>
    <t>WOS:000509632900029</t>
  </si>
  <si>
    <t>Li, F; Wei, F; Huang, WL; Lin, CC; Li, L; Shen, MM; Yan, QX; Liao, W; Chia, D; Tu, M; Tang, JH; Feng, ZD; Kim, Y; Su, WC; Wong, DTW</t>
  </si>
  <si>
    <t>Li, Feng; Wei, Fang; Huang, Wei-Lun; Lin, Chien-Chung; Li, Liang; Shen, Macy M.; Yan, Qingxiang; Liao, Wei; Chia, David; Tu, Michael; Tang, Jason H.; Feng, Ziding; Kim, Yong; Su, Wu-Chou; Wong, David T. W.</t>
  </si>
  <si>
    <t>Ultra-Short Circulating Tumor DNA (usctDNA) in Plasma and Saliva of Non-Small Cell Lung Cancer (NSCLC) Patients</t>
  </si>
  <si>
    <t>EFIRM; liquid biopsy; non-small cell lung carcinoma; usctDNA; EGFRmutation</t>
  </si>
  <si>
    <t>TYROSINE KINASE INHIBITORS; COPY NUMBER ABERRATIONS; FIELD-INDUCED RELEASE; LIQUID-BIOPSY; NONINVASIVE DETECTION; MUTATION DETECTION; EGFR MUTATIONS; STRANDED-DNA; EXOSOMES; KRAS</t>
  </si>
  <si>
    <t>Mutations identified in the epidermal growth factor receptor (EGFR) predict sensitivity to EGFR-targeted therapy for non-small cell lung carcinoma (NSCLC). We previously reported that Electric Field-Induced Release and Measurement (EFIRM)-based liquid biopsy could detect EGFR ctDNA with &gt;94% concordance with tissue-based genotyping. A side-by-side comparison of concordance of EFIRM and droplet digital PCR (ddPCR) for the detection of the two front-line actionable EFGR mutations was performed with paired plasma and saliva samples from 13 NSCLC patients. Deep sequencing analysis based on single-strand DNA library preparation was employed to determine the size distributions of EGFR L858R ctDNA in plasma and saliva samples. EFIRM detected both EGFR mutations with 100% sensitivity in both plasma and saliva samples, whereas ddPCR detected EGFR mutations with sensitivities of 84.6% and 15.4%, respectively. In saliva samples, the majority of EGFR L858R ctDNA fragments detected were &lt;80 bp. Deep sequencing analysis of ctDNA enriched for the EGFR L858R mutation revealed the significant presence of EGFR L858R ctDNA as ultra-short circulating tumor DNA (usctDNA) with the size of 40-60 bp in patient plasma and saliva. Most of usctDNAs are not amplifiable with the current ddPCR assay. Further examination using cell lines and patient biofluids revealed that the majority of usctDNAs were predominately localized in the exosomal fraction. Our study revealed the abundant existence of EGFR ctDNA in the plasma and saliva of NSCLC patients is usctDNA. usctDNA is a novel type of targets for liquid biopsy that can be efficiently detected by EFIRM technology.</t>
  </si>
  <si>
    <t>[Li, Feng; Wei, Fang; Li, Liang; Shen, Macy M.; Liao, Wei; Chia, David; Tu, Michael; Tang, Jason H.; Kim, Yong; Wong, David T. W.] Univ Calif Los Angeles, Sch Dent, Los Angeles, CA 90095 USA; [Huang, Wei-Lun; Lin, Chien-Chung; Su, Wu-Chou] Natl Cheng Kung Univ, Natl Cheng Kung Univ Hosp, Coll Med, Dept Internal Med, Tainan 70101, Taiwan; [Li, Liang] Hunan Univ Chinese Med, Inst Diagnost Chinese Med, Changsha 410208, Peoples R China; [Yan, Qingxiang; Feng, Ziding] Univ Texas MD Anderson Canc Ctr, Dept Biostat, Houston, TX 77030 USA</t>
  </si>
  <si>
    <t>University of California System; University of California Los Angeles; National Cheng Kung University; National Cheng Kung University Hospital; Hunan University of Chinese Medicine; University of Texas System; UTMD Anderson Cancer Center</t>
  </si>
  <si>
    <t>Wong, DTW (corresponding author), Univ Calif Los Angeles, Sch Dent, Los Angeles, CA 90095 USA.;Su, WC (corresponding author), Natl Cheng Kung Univ, Natl Cheng Kung Univ Hosp, Coll Med, Dept Internal Med, Tainan 70101, Taiwan.</t>
  </si>
  <si>
    <t>fengli@ucla.edu; frada@ucla.edu; r4215652@gmail.com; joshcclin@gmail.com; superliliang@126.com; macy.macy@gmail.com; yan.marky@gmail.com; wliao78@gmail.com; dchia@mednet.ucla.edu; mtu777@gmail.com; truehieu@gmail.com; zfeng@fredhutch.org; thadyk@ucla.edu; sunnysu@mail.ncku.edu.tw; dtww@ucla.edu</t>
  </si>
  <si>
    <t>li, liang/ABB-5357-2021; Lin, Chien-Chung/T-1496-2019</t>
  </si>
  <si>
    <t>Lin, Chien-Chung/0000-0002-4739-5631; Huang, Wei-Lun/0000-0001-5527-287X; Wong, David/0000-0002-0290-2206; Li, Feng/0000-0002-5819-734X; Chia, David/0000-0002-0723-3670; Kim, Yong/0000-0002-6220-4063; Tu, Michael/0000-0002-7227-4030</t>
  </si>
  <si>
    <t>10.3390/cancers12082041</t>
  </si>
  <si>
    <t>WOS:000579050500001</t>
  </si>
  <si>
    <t>Surmiak, M; Gielicz, A; Stojkov, D; Szatanek, R; Wawrzycka-Adamczyk, K; Yousefi, S; Simon, HU; Sanak, M</t>
  </si>
  <si>
    <t>Surmiak, Marcin; Gielicz, Anna; Stojkov, Darko; Szatanek, Rafal; Wawrzycka-Adamczyk, Katarzyna; Yousefi, Shida; Simon, Hans-Uwe; Sanak, Marek</t>
  </si>
  <si>
    <t>LTB4 and 5-oxo-ETE from extracellular vesicles stimulate neutrophils in granulomatosis with polyangiitis[S]</t>
  </si>
  <si>
    <t>JOURNAL OF LIPID RESEARCH</t>
  </si>
  <si>
    <t>neutrophil extracellular traps; reactive oxygen species; immunology; inflammation; eicosanoids; leukotrienes; leukotriene B-4; 5-oxo-eicosatetraenoic acid</t>
  </si>
  <si>
    <t>CYTOPLASMIC ANTIBODIES ANCA; 5-OXO-6,8,11,14-EICOSATETRAENOIC ACID; PLATELET MICROPARTICLES; PROINFLAMMATORY GENES; MITOCHONDRIAL-DNA; DENDRITIC CELLS; EXOSOMES; ACTIVATION; GRANULOCYTES; MICROVESICLES</t>
  </si>
  <si>
    <t>Activation of neutrophils is an important mechanism in the pathology of granulomatosis with polyangiitis (GPA). In this study, we evaluated whether extracellular vesicles (EVs) circulating in the plasma of GPA patients could contribute to this process. EVs from the plasma of GPA patients in the active stage of the disease (n = 10) and healthy controls (n = 10) were isolated by ultracentrifugation and characterized by flow cytometry (CD63, CD8) and nanoparticle tracking analysis. Targeted oxylipin lipidomics of EVs was performed by HPLC-MS/MS. EV/oxylipin-induced neutrophil extracellular traps (NETs) were analyzed by confocal microscopy, and released double-stranded DNA (dsDNA) was quantified by PicoGreen fluorescent dye. Reactive oxygen species (ROS) production and neutrophils' EV binding/uptake were evaluated by flow cytometry. Brief priming with granulocyte-macrophage colony-stimulating factor was required for EV-mediated ROS production and dsDNA release. It was observed that priming also increased EV binding/uptake by neutrophils only for EVs from GPA patients. EVs from GPA patients had higher concentrations of leukotriene (LT)B-4 and 5-oxo-eicosatetraenoic acid (5-oxo-ETE) as compared with EVs from healthy controls. Moreover, neutrophils stimulated with LTB4 or 5-oxo-ETE produced ROS and released dsDNA in a concentration-dependent manner. These results reveal the potential role of EVs containing oxylipin cargo on ROS production and NET formation by activated neutrophils.</t>
  </si>
  <si>
    <t>[Surmiak, Marcin; Gielicz, Anna; Wawrzycka-Adamczyk, Katarzyna; Sanak, Marek] Jagiellonian Univ, Med Coll, Dept Internal Med, Krakow, Poland; [Stojkov, Darko; Yousefi, Shida; Simon, Hans-Uwe] Jagiellonian Univ, Med Coll, Dept Clin Immunol, Krakow, Poland; [Szatanek, Rafal] Univ Bern, Inst Pharmacol, Bern, Switzerland</t>
  </si>
  <si>
    <t>Jagiellonian University; Collegium Medicum Jagiellonian University; Jagiellonian University; Collegium Medicum Jagiellonian University; University of Bern</t>
  </si>
  <si>
    <t>Sanak, M (corresponding author), Jagiellonian Univ, Med Coll, Dept Internal Med, Krakow, Poland.</t>
  </si>
  <si>
    <t>nfsanak@cyf-kr.edu.pl</t>
  </si>
  <si>
    <t>Yousefi, Shida/AAU-7986-2020; Wawrzycka-Adamczyk, Katarzyna/AHA-6088-2022; Simon, Hans-Uwe/AAU-5079-2020; Sanak, Marek/AAV-1628-2021; Simon, Hans-Uwe/AAU-7410-2020</t>
  </si>
  <si>
    <t>Yousefi, Shida/0000-0002-9855-4305; Wawrzycka-Adamczyk, Katarzyna/0000-0002-1439-1474; Sanak, Marek/0000-0001-7635-8103; Simon, Hans-Uwe/0000-0002-9404-7736; Surmiak, Marcin/0000-0001-8396-1488; Szatanek, Rafal/0000-0003-1327-6092</t>
  </si>
  <si>
    <t>0022-2275</t>
  </si>
  <si>
    <t>1539-7262</t>
  </si>
  <si>
    <t>10.1194/jlr.M092072</t>
  </si>
  <si>
    <t>WOS:000504723200001</t>
  </si>
  <si>
    <t>Setzer, F; Oberle, V; Blass, M; Moller, E; Russwurm, S; Deigner, HP; Claus, RA; Bauer, M; Reinhart, K; Losche, W</t>
  </si>
  <si>
    <t>Setzer, Florian; Oberle, Volker; Blaess, Markus; Moeller, Eva; Russwurm, Stefan; Deigner, Hans-Peter; Claus, Ralf A.; Bauer, Michael; Reinhart, Konrad; Loesche, Wolfgang</t>
  </si>
  <si>
    <t>Platelet-derived microvesicles induce differential gene expression in monocytic cells: A DNA microarray study</t>
  </si>
  <si>
    <t>PLATELETS</t>
  </si>
  <si>
    <t>hemostasis; inflammation; platelet-derived microvesicles; gene expression; sphingosine kinase-1</t>
  </si>
  <si>
    <t>TISSUE FACTOR; CELLULAR MICROPARTICLES; SYSTEMIC INFLAMMATION; ACTIVATION; BLOOD; ADHESION; STRESS; MATURE</t>
  </si>
  <si>
    <t>Platelet-derived microvesicles (PMV) that are shed from the plasma membrane of activated platelets, expose various platelet-type antigens on their surface and are able to adhere to other blood cells and endothelial cells. There are several clinical conditions with markedly increased numbers of PMV, e.g. acute coronary syndrome, thrombotic microangiopathy and sepsis. To prove whether PMV may contribute to an inflammatory response we used DNA microarray technology to study the effect of PMV on gene expression in the prototypic monocytic cell line MonoMac 6 (MM6). PMV were generated by activating human platelets in plasma with collagen and subsequent removal of platelets and plasma by repeated centrifugation. MM6 were incubated for 2 h with PMV in a ratio corresponding to 7 5 platelets/cell, or saline as control. After RNA isolation, reverse transcription and fluorescence labelling, cDNA was hybridized on a medium density microarray comprising 5308 probes addressing 4868 transcripts of 4730 human genes relevant to inflammation, immune response and related processes. The formation of PMV-MM6 conjugates was associated with significant variations in gene expression, i.e. 93 genes were found to be differentially expressed (P &lt; 0.001; q &lt; 0.087). Among them, 47 genes with annotated transcripts and proteins were identified. Using Ingenuity Pathway Analysis, 37 of the differentially expressed genes were identified as parts of networks associated with functional pathways including cell-to-cell signalling, cellular growth and proliferation, regulation of gene expression and lipid metabolism. For sphingosine kinase-1 the increased expression could be confirmed exemplarily not only by RT-PCR but also on the enzyme activity level. The data indicate that PMV signal differential expression of inflammation-relevant genes in monocytic cells and may represent a novel link between hemostasis and inflammation.</t>
  </si>
  <si>
    <t>Univ Hosp Jena, Dept Anaesthesiol &amp; Intens Care Med, Jena, Germany; SIRS Lab GmbH, Jena, Germany; Univ E Anglia, Sch Chem Sci &amp; Pharm, Norwich NR4 7TJ, Norfolk, England</t>
  </si>
  <si>
    <t>Friedrich Schiller University of Jena; University of East Anglia</t>
  </si>
  <si>
    <t>Losche, W (corresponding author), Univ Klinikum Jena, Klin Anaesthiol &amp; Intensivtherapie, Erlanger Allee 101, D-07747 Jena, Germany.</t>
  </si>
  <si>
    <t>wolfgang.loesche@med.uni-jena.de</t>
  </si>
  <si>
    <t>Blaess, Markus/AAU-9572-2021; Claus, Ralf A./Q-4035-2016</t>
  </si>
  <si>
    <t>Bauer, Michael/0000-0002-1521-3514; Claus, Ralf A./0000-0001-7232-4088; Blaess, Markus/0000-0002-5860-2878</t>
  </si>
  <si>
    <t>0953-7104</t>
  </si>
  <si>
    <t>1369-1635</t>
  </si>
  <si>
    <t>10.1080/09537100600760244</t>
  </si>
  <si>
    <t>Cell Biology; Hematology</t>
  </si>
  <si>
    <t>WOS:000242939500008</t>
  </si>
  <si>
    <t>Paproski, RJ; Jovel, J; Wong, GKS; Lewis, JD; Zemp, RJ</t>
  </si>
  <si>
    <t>Paproski, Robert J.; Jovel, Juan; Wong, Gane Ka-Shu; Lewis, John D.; Zemp, Roger J.</t>
  </si>
  <si>
    <t>Enhanced Detection of Cancer Biomarkers in Blood-Borne Extracellular Vesicles Using Nanodroplets and Focused Ultrasound</t>
  </si>
  <si>
    <t>CANCER RESEARCH</t>
  </si>
  <si>
    <t>PROSTATE-CANCER; MESSENGER-RNA; PHASE-SHIFT; IN-VITRO; MODEL; CELLS; CAVITATION; METASTASES; EXOSOMES; THERAPY</t>
  </si>
  <si>
    <t>The feasibility of personalized medicine approaches will be greatly improved by the development of noninvasive methods to interrogate tumor biology. Extracellular vesicles shed by solid tumors into the bloodstream have been under recent investigation as a source of tumor-derived biomarkers such as proteins and nucleic acids. We report here an approach using submicrometer perfluorobutane nanodroplets and focused ultrasound to enhance the release of extracellular vesicles from specific locations in tumors into the blood. The released extracellular vesicles were enumerated and characterized using micro flow cytometry. Only in the presence of nanodroplets could ultrasound release appreciable levels of tumor-derived vesicles into the blood. Sonication of HT1080-GFP tumors did not increase the number of circulating tumor cells or the metastatic burden in the tumor-bearing embryos. A variety of biological molecules were successfully detected tumor-derived extracellular vesicles, including cancer-associated proteins, mRNAs, and miRNAs. Sonication of xenograft HT1080 fibrosarcoma tumors released extracellular vesicles that contained detectable RAC1 mRNA with the highly tumorigenic N92I mutation known to exist in HT1080 cells. Deep sequencing serum samples of embryos with sonicated tumors allowed the identification of an additional 13 known heterozygous mutations in HT1080 cells. Applying ultrasound to HT1080 tumors increased tumor-derived DNA in the serum by two orders of magnitude. This work is the first demonstration of enhanced extracellular vesicle release by ultrasound stimulation and suggests that nanodroplets/ultrasound offers promise for genetic profiling of tumor phenotype and aggressiveness by stimulating the release of extracellular vesicles. (C) 2016 AACR.</t>
  </si>
  <si>
    <t>[Paproski, Robert J.; Zemp, Roger J.] Univ Alberta, Dept Elect &amp; Comp Engn, Edmonton, AB, Canada; [Jovel, Juan; Wong, Gane Ka-Shu] Univ Alberta, Dept Biol Sci, Edmonton, AB, Canada; [Jovel, Juan; Wong, Gane Ka-Shu] Univ Alberta, Dept Med, Edmonton, AB, Canada; [Wong, Gane Ka-Shu] BGI Shenzhen, Beishan Ind Zone, Shenzhen, Peoples R China; [Paproski, Robert J.; Lewis, John D.] Univ Alberta, Dept Oncol, Edmonton, AB, Canada</t>
  </si>
  <si>
    <t>University of Alberta; University of Alberta; University of Alberta; Beijing Genomics Institute (BGI); University of Alberta</t>
  </si>
  <si>
    <t>Zemp, RJ (corresponding author), Univ Alberta, Donadeo ICE 13-340, Edmonton, AB T6G 2V4, Canada.;Lewis, JD (corresponding author), Univ Alberta, 5-142C Katz Grp Bldg,114th St &amp; 87th Ave, Edmonton, AB T6G 2E1, Canada.</t>
  </si>
  <si>
    <t>jdlewis@ualberta.ca; rzemp@ualberta.ca</t>
  </si>
  <si>
    <t>WONG, Gane Ka-Shu/G-5784-2013</t>
  </si>
  <si>
    <t>WONG, Gane Ka-Shu/0000-0001-6108-5560</t>
  </si>
  <si>
    <t>0008-5472</t>
  </si>
  <si>
    <t>1538-7445</t>
  </si>
  <si>
    <t>10.1158/0008-5472.CAN-15-3231</t>
  </si>
  <si>
    <t>WOS:000393187900001</t>
  </si>
  <si>
    <t>Nguyen, B; Wong, NC; Semple, T; Clark, M; Wong, SQ; Leslie, C; Mirzai, B; Millward, M; Meehan, K; Lim, AM</t>
  </si>
  <si>
    <t>Nguyen, Bella; Wong, Nicholas C.; Semple, Tim; Clark, Michael; Wong, Stephen Q.; Leslie, Connull; Mirzai, Bob; Millward, Michael; Meehan, Katie; Lim, Annette M.</t>
  </si>
  <si>
    <t>Low-coverage whole-genome sequencing of extracellular vesicle-associated DNA in patients with metastatic cancer</t>
  </si>
  <si>
    <t>Low-coverage whole-genome sequencing (LC-WGS) can provide insight into oncogenic molecular changes. Serum extracellular vesicles (EV) represent a novel liquid biopsy source of tumoral DNA. This study compared copy number alteration (CNA) profiles generated from LC-WGS of formalin-fixed paraffin-embedded (FFPE) tumoral DNA and EV-DNA obtained from cancer patients. Patients with squamous cell carcinoma of the base of tongue (n=3) and cutaneous squamous cell carcinoma (n=2) were included. LC-WGS (0.5-1X coverage) was performed on FFPE-DNA and serum EV-DNA. Similarity between CNA profiles was analysed using QDNAseq. FFPE samples had a mean CNA of 31 (range 17-50) over 1.9x10(9) (range 1.0-2.6x10(9)) bp in length, and EV samples had a mean CNA value of 17 (range 7-19) over 7.6x10(8) (range 2.9-15x10(8)) bp in length. A mean of 8 (range 0-21) CNA over 5.9x10(8) (range 1.6-14x10(8)) bp in length was found to overlap between EV and FFPE-derived samples per patient. Although the mean correlation efficient between samples was r=0.34 (range - .08 to 0.99), this was not statistically significant (p&gt;0.05). Regions of highest deletion and duplication in FFPE samples were not well reflected in the EV-DNA. Selected CNA regions in EV-associated DNA were reflective of the primary tumor, however appreciation of global CNA and areas of most significant change was lost. The utility of LC-WGS of EV-derived DNA is likely limited to molecular alterations of known interest.</t>
  </si>
  <si>
    <t>[Nguyen, Bella; Millward, Michael] Sir Charles Gairdner Hosp, Dept Med Oncol, Perth, WA, Australia; [Nguyen, Bella; Mirzai, Bob] Univ Western Australia, Sch Biomed Sci, Perth, WA, Australia; [Wong, Nicholas C.] Monash Univ, Monash Bioinformat Platform, Melbourne, Vic, Australia; [Semple, Tim; Wong, Stephen Q.; Lim, Annette M.] Peter MacCallum Canc Ctr, Dept Med Oncol, Melbourne, Vic, Australia; [Wong, Stephen Q.] Univ Melbourne, Sir Peter MacCallum Dept Oncol, Melbourne, Vic, Australia; [Clark, Michael; Lim, Annette M.] Edith Cowan Univ, Sch Med &amp; Hlth Sci, Joondalup, WA, Australia; [Leslie, Connull] Univ Western Australia, Sch Pathol &amp; Lab Med, Perth, WA, Australia; [Leslie, Connull; Mirzai, Bob] QEII Med Ctr, Dept Anat Pathol, PathWest, Perth, WA, Australia; [Meehan, Katie] Chinese Univ Hong Kong, Dept Otorhinolaryngol Head &amp; Neck Surg, Shatin, Hong Kong, Peoples R China; [Millward, Michael] Univ Western Australia, Sch Med, Perth, WA, Australia</t>
  </si>
  <si>
    <t>University of Western Australia; University of Western Australia; Monash University; Peter Maccallum Cancer Center; Peter Maccallum Cancer Center; University of Melbourne; Edith Cowan University; University of Western Australia; University of Western Australia; Chinese University of Hong Kong; University of Western Australia</t>
  </si>
  <si>
    <t>Lim, AM (corresponding author), Peter MacCallum Canc Ctr, Dept Med Oncol, Melbourne, Vic, Australia.;Lim, AM (corresponding author), Edith Cowan Univ, Sch Med &amp; Hlth Sci, Joondalup, WA, Australia.</t>
  </si>
  <si>
    <t>; Meehan, Katie/H-5431-2014</t>
  </si>
  <si>
    <t>Wong, Stephen Q./0000-0002-7335-2168; Meehan, Katie/0000-0002-9179-4592</t>
  </si>
  <si>
    <t>FEB 17</t>
  </si>
  <si>
    <t>10.1038/s41598-021-83436-1</t>
  </si>
  <si>
    <t>WOS:000621344600041</t>
  </si>
  <si>
    <t>Ariyoshi, K; Miura, T; Kasai, K; Fujishima, Y; Nakata, A; Yoshida, M</t>
  </si>
  <si>
    <t>Ariyoshi, Kentaro; Miura, Tomisato; Kasai, Kosuke; Fujishima, Yohei; Nakata, Akifumi; Yoshida, Mitsuaki</t>
  </si>
  <si>
    <t>Radiation-Induced Bystander Effect is Mediated by Mitochondrial DNA in Exosome-Like Vesicles</t>
  </si>
  <si>
    <t>IONIZING-RADIATION; IN-VIVO; EXTRACELLULAR VESICLES; INDUCTION; RESPONSES; DAMAGE; IRRADIATION; AUTOPHAGY; PLASMA; INFLAMMATION</t>
  </si>
  <si>
    <t>Exosome-like vesicles (ELV) are involved in mediating radiation-induced bystander effect (RIBE). Here, we used ELV from control cell conditioned medium (CCCM) and from 4 Gy of X-ray irradiated cell conditioned medium (ICCM), which has been used to culture normal human fibroblast cells to examine the possibility of ELV mediating RIBE signals. We investigated whether ELV from 4 Gy irradiated mouse serum mediate RIBE signals. Induction of DNA damage was observed in cells that were treated with ICCM ELV and ELV from 4 Gy irradiated mouse serum. In addition, we treated CCCM ELV and ICCM ELV with RNases, DNases, and proteinases to determine which component of ELV is responsible for RIBE. Induction of DNA damage by ICCM ELV was not observed after treatment with DNases. After treatment, DNA damages were not induced in CCCM ELV or ICCM ELV from mitochondria depleted (rho 0) normal human fibroblast cells. Further, we found significant increase in mitochondrial DNA (mtDNA) in ICCM ELV and ELV from 4 Gy irradiated mouse serum. ELV carrying amplified mtDNA (ND1, ND5) induced DNA damage in treated cells. These data suggest that the secretion of mtDNA through exosomes is involved in mediating RIBE signals.</t>
  </si>
  <si>
    <t>[Ariyoshi, Kentaro; Yoshida, Mitsuaki] Hirosaki Univ, Inst Radiat Emergency Med, Dept Radiat Biol, 66-1 Hon Cho, Hirosaki, Aomori 0368564, Japan; [Miura, Tomisato; Kasai, Kosuke; Fujishima, Yohei] Hirosaki Univ, Grad Sch Hlth Sci, Dept Biomed Sci, 66-1 Hon Cho, Hirosaki, Aomori 0368564, Japan; [Nakata, Akifumi] Hokkaido Pharmaceut Univ, Sch Pharm, Dept Basic Pharm, Teine Ku, Maeda 7 Jo 15-4-1, Sapporo, Hokkaido 0068590, Japan</t>
  </si>
  <si>
    <t>Hirosaki University; Hirosaki University</t>
  </si>
  <si>
    <t>Ariyoshi, K; Yoshida, M (corresponding author), Hirosaki Univ, Inst Radiat Emergency Med, Dept Radiat Biol, 66-1 Hon Cho, Hirosaki, Aomori 0368564, Japan.</t>
  </si>
  <si>
    <t>ariyoshi@hirosaki-u.ac.jp; myoshida@hirosaki-u.ac.jp</t>
  </si>
  <si>
    <t>Nakata, Akifumi/F-5488-2013; Miura, Tomisato/F-1289-2013; Ariyoshi, Kentaro/L-8742-2018</t>
  </si>
  <si>
    <t>Nakata, Akifumi/0000-0002-8728-1655; Miura, Tomisato/0000-0003-3104-2134; Ariyoshi, Kentaro/0000-0002-4639-6130</t>
  </si>
  <si>
    <t>JUN 24</t>
  </si>
  <si>
    <t>10.1038/s41598-019-45669-z</t>
  </si>
  <si>
    <t>WOS:000472597400006</t>
  </si>
  <si>
    <t>Wijerathne, H; Witek, MA; Jackson, JM; Brown, V; Hupert, ML; Herrera, K; Kramer, C; Davidow, AE; Li, Y; Baird, AE; Murphy, MC; Soper, SA</t>
  </si>
  <si>
    <t>Wijerathne, Harshani; Witek, Malgorzata A.; Jackson, Joshua M.; Brown, Virginia; Hupert, Mateusz L.; Herrera, Kristina; Kramer, Cameron; Davidow, Abigail E.; Li, Yan; Baird, Alison E.; Murphy, Michael C.; Soper, Steven A.</t>
  </si>
  <si>
    <t>Affinity enrichment of extracellular vesicles from plasma reveals mRNA changes associated with acute ischemic stroke</t>
  </si>
  <si>
    <t>GENE-EXPRESSION; LIQUID BIOPSY; BRAIN; IMPROVEMENT; DNA</t>
  </si>
  <si>
    <t>Wijerathne et al develop an approach to quantify mRNA amounts in extracellular vesicles (EVs) from plasma using a microfluidics device to enrich EVs. They show this method allows for the correlation of specific mRNAs with acute ischemic stroke pointing towards potential clinical use. Currently there is no in vitro diagnostic test for acute ischemic stroke (AIS), yet rapid diagnosis is crucial for effective thrombolytic treatment. We previously demonstrated the utility of CD8(+) T-cells' mRNA expression for AIS detection; however extracellular vesicles (EVs) were not evaluated as a source of mRNA for AIS testing. We now report a microfluidic device for the rapid and efficient affinity-enrichment of CD8(+) EVs and subsequent EV's mRNA analysis using droplet digital PCR (ddPCR). The microfluidic device contains a dense array of micropillars modified with anti-CD8 alpha monoclonal antibodies that enriched 158 +/- 10 nm sized EVs at 4.3 +/- 2.1 x 10(9) particles/100 mu L of plasma. Analysis of mRNA from CD8(+) EVs and their parental T-cells revealed correlation in the expression for AIS-specific genes in both cell lines and healthy donors. In a blinded study, 80% test positivity for AIS patients and controls was revealed with a total analysis time of 3.7 h.</t>
  </si>
  <si>
    <t>[Wijerathne, Harshani; Witek, Malgorzata A.; Jackson, Joshua M.; Kramer, Cameron; Davidow, Abigail E.; Soper, Steven A.] Univ Kansas, Dept Chem, Lawrence, KS 66047 USA; [Wijerathne, Harshani; Witek, Malgorzata A.; Jackson, Joshua M.; Brown, Virginia; Kramer, Cameron; Davidow, Abigail E.; Murphy, Michael C.; Soper, Steven A.] Univ Kansas, Ctr BioModular Multiscale Syst Precis Med, Lawrence, KS 66047 USA; [Witek, Malgorzata A.; Soper, Steven A.] Univ Kansas, Med Ctr, Canc Ctr, Kansas City, KS 66160 USA; [Witek, Malgorzata A.; Herrera, Kristina] Univ N Carolina, Dept Chem, Chapel Hill, NC 27599 USA; [Brown, Virginia; Soper, Steven A.] Univ Kansas, Bioengn Program, Lawrence, KS 66047 USA; [Hupert, Mateusz L.; Soper, Steven A.] Biofluidica Inc, San Diego, CA 92121 USA; [Li, Yan; Baird, Alison E.] Suny Downstate Med Ctr, Brooklyn, NY 11203 USA; [Murphy, Michael C.] Louisiana State Univ, Dept Mech Engn, Baton Rouge, LA 70805 USA; [Soper, Steven A.] Univ Kansas, Dept Mech Engn, Lawrence, KS 66047 USA</t>
  </si>
  <si>
    <t>University of Kansas; University of Kansas; University of Kansas; University of Kansas Medical Center; University of North Carolina; University of North Carolina Chapel Hill; University of Kansas; State University of New York (SUNY) System; State University of New York (SUNY) Downstate Medical Center; Louisiana State University System; Louisiana State University; University of Kansas</t>
  </si>
  <si>
    <t>Soper, SA (corresponding author), Univ Kansas, Dept Chem, Lawrence, KS 66047 USA.;Soper, SA (corresponding author), Univ Kansas, Ctr BioModular Multiscale Syst Precis Med, Lawrence, KS 66047 USA.;Soper, SA (corresponding author), Univ Kansas, Med Ctr, Canc Ctr, Kansas City, KS 66160 USA.;Soper, SA (corresponding author), Univ Kansas, Bioengn Program, Lawrence, KS 66047 USA.;Soper, SA (corresponding author), Biofluidica Inc, San Diego, CA 92121 USA.;Soper, SA (corresponding author), Univ Kansas, Dept Mech Engn, Lawrence, KS 66047 USA.</t>
  </si>
  <si>
    <t>ssoper@ku.edu</t>
  </si>
  <si>
    <t>Wijerathne, Harshani/AAD-5912-2022</t>
  </si>
  <si>
    <t>Wijerathne, Harshani/0000-0002-9921-0731</t>
  </si>
  <si>
    <t>OCT 26</t>
  </si>
  <si>
    <t>10.1038/s42003-020-01336-y</t>
  </si>
  <si>
    <t>WOS:000588473600001</t>
  </si>
  <si>
    <t>Sun, L; Meckes, DG</t>
  </si>
  <si>
    <t>Sun, Li; Meckes, David G., Jr.</t>
  </si>
  <si>
    <t>Multiplex protein profiling method for extracellular vesicle protein detection</t>
  </si>
  <si>
    <t>IMMUNO-PCR; EXOSOMES; DNA; BIOMARKERS; QUANTIFICATION; ANTIGENS; CELLS; FLUID; ASSAY</t>
  </si>
  <si>
    <t>Extracellular vesicles (EVs) are small nanometer-sized membrane sacs secreted into biological fluids by all cells. EVs encapsulate proteins, RNAs and metabolites from its origin cell and play important roles in intercellular communication events. Over the past decade, EVs have become a new emerging source for cancer diagnostics. One of the challenges in the study of EVs and there utility as diagnostic biomarkers is the amount of EVs needed for traditional protein analysis methods. Here, we present a new immuno-PCR method that takes advantage of commercially available TotalSeq antibodies containing DNA conjugated oligos to identify immobilized protein analysts using real-time qPCR. Using this method, we demonstrate that multiple EV surface proteins can be profiled simultaneously with high sensitivity and specificity. This approach was also successfully applied to similar protocol using cell and serum samples. We further described the development of a micro-size exclusion chromatography method, where we were able to detect EV surface proteins with as little as 10 mu L of human serum when combined with immuno-PCR. Overall, these results show that the immuno-PCR method results in rapid detection of multiple EV markers from small sample volumes in a single tube.</t>
  </si>
  <si>
    <t>[Sun, Li; Meckes, David G., Jr.] Florida State Univ, Dept Biomed Sci, Coll Med, 1115 W Call St, Tallahassee, FL 32306 USA</t>
  </si>
  <si>
    <t>State University System of Florida; Florida State University</t>
  </si>
  <si>
    <t>Meckes, DG (corresponding author), Florida State Univ, Dept Biomed Sci, Coll Med, 1115 W Call St, Tallahassee, FL 32306 USA.</t>
  </si>
  <si>
    <t>david.meckes@med.fsu.edu</t>
  </si>
  <si>
    <t>10.1038/s41598-021-92012-6</t>
  </si>
  <si>
    <t>WOS:000696753700063</t>
  </si>
  <si>
    <t>Aucamp, J; Bronkhorst, AJ; Badenhorst, CPS; Pretorius, PJ</t>
  </si>
  <si>
    <t>Aucamp, Janine; Bronkhorst, Abel J.; Badenhorst, Christoffel P. S.; Pretorius, Piet J.</t>
  </si>
  <si>
    <t>A historical and evolutionary perspective on the biological significance of circulating DNA and extracellular vesicles</t>
  </si>
  <si>
    <t>CELLULAR AND MOLECULAR LIFE SCIENCES</t>
  </si>
  <si>
    <t>Inheritance of acquired characteristics; Pangenesis; Metabolic DNA; Genometastasis; Virtosomes; Lateral gene transfer</t>
  </si>
  <si>
    <t>CELL-FREE DNA; FREE PLASMA DNA; BACTERIAL DEOXYRIBONUCLEIC-ACID; NUCLEIC-ACIDS; METABOLIC DNA; EPIGENETIC INHERITANCE; SPONTANEOUS RELEASE; HORIZONTAL TRANSFER; HUMAN-LYMPHOCYTES; DRUG-RESISTANCE</t>
  </si>
  <si>
    <t>The discovery of quantitative and qualitative differences of the circulating DNA (cirDNA) between healthy and diseased individuals inclined researchers to investigate these molecules as potential biomarkers for non-invasive diagnosis and prognosis of various pathologies. However, except for some prenatal tests, cirDNA analyses have not been readily translated to clinical practice due to a lack of knowledge regarding its composition, function, and biological and evolutionary origins. We believe that, to fully grasp the nature of cirDNA and the extracellular vesicles (EVs) and protein complexes with which it is associated, it is necessary to probe the early and badly neglected work that contributed to the discovery and development of these concepts. Accordingly, this review consists of a schematic summary of the major events that developed and integrated the concepts of heredity, genetic information, cirDNA, EVs, and protein complexes. CirDNA enters target cells and provokes a myriad of gene regulatory effects associated with the messaging functions of various natures, disease progression, somatic genome variation, and transgenerational inheritance. This challenges the traditional views on each of the former topics. All of these discoveries can be traced directly back to the iconic works of Darwin, Lamarck, and their followers. The history of cirDNA that has been revisited here is rich in information that should be considered in clinical practice, when designing new experiments, and should be very useful for generating an empirically up-to-date view of cirDNA and EVs. Furthermore, we hope that it will invite many flights of speculation and stimulate further inquiry into its biological and evolutionary origins.</t>
  </si>
  <si>
    <t>[Aucamp, Janine; Bronkhorst, Abel J.; Pretorius, Piet J.] North West Univ, Div Biochem, Ctr Human Metabol, ZA-2520 Potchefstroom, South Africa; [Badenhorst, Christoffel P. S.] Univ Greifswald, Inst Biochem, Dept Biotechnol &amp; Enzyme Catalysis, Felix Hausdorff Str 4, D-17487 Greifswald, Germany</t>
  </si>
  <si>
    <t>North West University - South Africa; Ernst Moritz Arndt Universitat Greifswald</t>
  </si>
  <si>
    <t>Badenhorst, Chris/CAF-6407-2022</t>
  </si>
  <si>
    <t>Badenhorst, Chris/0000-0002-5874-4577</t>
  </si>
  <si>
    <t>1420-682X</t>
  </si>
  <si>
    <t>1420-9071</t>
  </si>
  <si>
    <t>10.1007/s00018-016-2370-3</t>
  </si>
  <si>
    <t>WOS:000386696300001</t>
  </si>
  <si>
    <t>Moris, D; Beal, EW; Chakedis, J; Burkhart, RA; Schmidt, C; Dillhoff, M; Zhang, XF; Theocharis, S; Pawlik, TM</t>
  </si>
  <si>
    <t>Moris, Demetrios; Beal, Eliza W.; Chakedis, Jeffery; Burkhart, Richard A.; Schmidt, Carl; Dillhoff, Mary; Zhang, Xufeng; Theocharis, Stamatios; Pawlik, Timothy M.</t>
  </si>
  <si>
    <t>Role of exosomes in treatment of hepatocellular carcinoma</t>
  </si>
  <si>
    <t>SURGICAL ONCOLOGY-OXFORD</t>
  </si>
  <si>
    <t>Exosomes; Liver; Biomarkers; Hepatocellular carcinoma; miRNA; Therapy; Hepatitis; Cirrhosis</t>
  </si>
  <si>
    <t>LONG NONCODING RNA; MESENCHYMAL STEM-CELLS; EXTRACELLULAR VESICLES; CANCER EXOSOMES; SIGNALING PATHWAYS; TUMOR-SUPPRESSOR; SERUM EXOSOMES; STROMAL CELLS; IN-VIVO; MICRORNAS</t>
  </si>
  <si>
    <t>Exosomes are nanovesicles that may play a role in intercellular communication by acting as carriers of functional contents such as proteins, lipids, RNA molecules and circulating DNA from donor to recipient cells. In addition, exosomes may play a potential role in immunosurveillance and tumor pathogenesis and progression. Recently, research has increasingly focused on the role of exosomes in hepatocellular carcinoma (HCC), the most common primary liver malignancy. We herein review data on emerging experimental and clinical studies focused on the role of exosomes in the pathogenesis, diagnosis, progression and chemotherapy response of patients with HCC. Beyond their diagnostic value in HCC, exosomes are involved in different mechanisms of HCC tumor pathogenesis and progression including angiogenesis and immune escape. Moreover, exosomes have been demonstrated to change the tumor microenvironment to a less tolerogenic state, favoring immune response and tumor suppression. These results underline a practical and potentially feasible role of exosomes in the treatment of patients with HCC, both as a target and a vehicle for drug design. Future studies will need to further elucidate the exact role and reliability of exosomes as screening, diagnostic and treatment targets in patients with HCC. (C) 2017 Elsevier Ltd. All rights reserved.</t>
  </si>
  <si>
    <t>[Moris, Demetrios; Beal, Eliza W.; Chakedis, Jeffery; Schmidt, Carl; Dillhoff, Mary; Zhang, Xufeng; Pawlik, Timothy M.] Ohio State Univ, Wexner Med Ctr, Div Surg Oncol, Dept Surg, Columbus, OH 43210 USA; [Moris, Demetrios; Beal, Eliza W.; Chakedis, Jeffery; Schmidt, Carl; Dillhoff, Mary; Zhang, Xufeng; Pawlik, Timothy M.] James Canc Hosp, Columbus, OH USA; [Moris, Demetrios; Beal, Eliza W.; Chakedis, Jeffery; Schmidt, Carl; Dillhoff, Mary; Zhang, Xufeng; Pawlik, Timothy M.] Solove Res Inst, Columbus, OH USA; [Burkhart, Richard A.] Johns Hopkins Univ Hosp, Div Hepatobiliary &amp; Pancreat Surg, Dept Surg, Baltimore, MD 21287 USA; [Theocharis, Stamatios] Univ Athens, Med Sch, Dept Pathol 1, Athens, Greece</t>
  </si>
  <si>
    <t>Ohio State University; James Cancer Hospital &amp; Solove Research Institute; Ohio State University; James Cancer Hospital &amp; Solove Research Institute; Johns Hopkins University; Johns Hopkins Medicine; National &amp; Kapodistrian University of Athens</t>
  </si>
  <si>
    <t>Pawlik, TM (corresponding author), Ohio State Univ, Wexner Med Ctr, Urban Meyer III &amp; Shelley Meyer Chair Canc Res, Surg Oncol Hlth Serv Management &amp; Policy,Dept Sur, 395 W 12th Ave,Suite 670, Columbus, OH 43210 USA.</t>
  </si>
  <si>
    <t>tim.pawlik@osumc.edu</t>
  </si>
  <si>
    <t>Pawlik, Timothy/AAO-9335-2020; Beal, Eliza/AAT-3071-2020</t>
  </si>
  <si>
    <t>Beal, Eliza/0000-0003-2191-6811; Moris, Dimitrios/0000-0002-5276-0699</t>
  </si>
  <si>
    <t>0960-7404</t>
  </si>
  <si>
    <t>1879-3320</t>
  </si>
  <si>
    <t>10.1016/j.suronc.2017.04.005</t>
  </si>
  <si>
    <t>Oncology; Surgery</t>
  </si>
  <si>
    <t>WOS:000410652800001</t>
  </si>
  <si>
    <t>Biadglegne, F; Schmidt, JR; Engel, KM; Lehmann, J; Lehmann, RT; Reinert, A; Konig, B; Schiller, J; Kalkhof, S; Sack, U</t>
  </si>
  <si>
    <t>Biadglegne, Fantahun; Schmidt, Johannes R.; Engel, Kathrin M.; Lehmann, Joerg; Lehmann, Robert T.; Reinert, Anja; Konig, Brigitte; Schiller, Juergen; Kalkhof, Stefan; Sack, Ulrich</t>
  </si>
  <si>
    <t>Mycobacterium tuberculosis Affects Protein and Lipid Content of Circulating Exosomes in Infected Patients Depending on Tuberculosis Disease State</t>
  </si>
  <si>
    <t>exosomes; lipids; proteins; Mycobacterium tuberculosis; plasma; tuberculosis</t>
  </si>
  <si>
    <t>EXTRACELLULAR VESICLES; IDENTIFICATION; GENE; SPHINGOLIPIDS; MACROPHAGES; EXPRESSION; BIOMARKERS; ADHESION; PLATFORM; MODEL</t>
  </si>
  <si>
    <t>Tuberculosis (TB), which is caused by the bacterium Mycobacterium tuberculosis (Mtb), is still one of the deadliest infectious diseases. Understanding how the host and pathogen interact in active TB will have a significant impact on global TB control efforts. Exosomes are increasingly recognized as a means of cell-to-cell contact and exchange of soluble mediators. In the case of TB, exosomes are released from the bacillus and infected cells. In the present study, a comprehensive lipidomics and proteomics analysis of size exclusion chromatography-isolated plasma-derived exosomes from patients with TB lymphadenitis (TBL) and treated as well as untreated pulmonary TB (PTB) was performed to elucidate the possibility to utilize exosomes in diagnostics and knowledge building. According to our findings, exosome-derived lipids and proteins originate from both the host and Mtb in the plasma of active TB patients. Exosomes from all patients are mostly composed of sphingomyelins (SM), phosphatidylcholines, phosphatidylinositols, free fatty acids, triacylglycerols (TAG), and cholesterylesters. Relative proportions of, e.g., SMs and TAGs, vary depending on the disease or treatment state and could be linked to Mtb pathogenesis and dormancy. We identified three proteins of Mtb origin: DNA-directed RNA polymerase subunit beta (RpoC), Diacyglycerol O-acyltransferase (Rv2285), and Formate hydrogenase (HycE), the latter of which was discovered to be differently expressed in TBL patients. Furthermore, we discovered that Mtb infection alters the host protein composition of circulating exosomes, significantly affecting a total of 37 proteins. All TB patients had low levels of apolipoproteins, as well as the antibacterial proteins cathelicidin, Scavenger Receptor Cysteine Rich Family Member (SSC5D), and Ficolin 3 (FCN3). When compared to healthy controls, the protein profiles of PTB and TBL were substantially linked, with 14 proteins being co-regulated. However, adhesion proteins (integrins, Intercellular adhesion molecule 2 (ICAM2), CD151, Proteoglycan 4 (PRG4)) were shown to be more prevalent in PTB patients, while immunoglobulins, Complement component 1r (C1R), and Glutamate receptor-interacting protein 1 (GRIP1) were found to be more abundant in TBL patients, respectively. This study could confirm findings from previous reports and uncover novel molecular profiles not previously in focus of TB research. However, we applied a minimally invasive sampling and analysis of circulating exosomes in TB patients. Based on the findings given here, future studies into host-pathogen interactions could pave the way for the development of new vaccines and therapies.</t>
  </si>
  <si>
    <t>[Biadglegne, Fantahun] Bahir Dar Univ, Coll Med &amp; Hlth Sci, POB 79, Bahir Dar, Ethiopia; [Biadglegne, Fantahun; Konig, Brigitte] Univ Leipzig, Fac Med, Inst Med Microbiol &amp; Epidemiol Infect Dis, D-04103 Leipzig, Germany; [Biadglegne, Fantahun; Sack, Ulrich] Univ Leipzig, Fac Med, Inst Clin Immunol, D-04103 Leipzig, Germany; [Schmidt, Johannes R.; Lehmann, Joerg; Kalkhof, Stefan] Fraunhofer Inst Cell Therapy &amp; Immunol, Dept Preclin Dev &amp; Validat, D-04103 Leipzig, Germany; [Engel, Kathrin M.; Schiller, Juergen] Univ Leipzig, Fac Med, Inst Med Phys &amp; Biophys, D-04107 Leipzig, Germany; [Lehmann, Joerg; Kalkhof, Stefan] Fraunhofer Cluster Excellence Immune Mediated Dis, D-04103 Leipzig, Germany; [Lehmann, Robert T.] Fraunhofer Inst Cell Therapy &amp; Immunol, Dept Diagnost, D-04103 Leipzig, Germany; [Reinert, Anja] Univ Leipzig, Fac Vet Med, Inst Anat Histol &amp; Embryol, D-04103 Leipzig, Germany; [Kalkhof, Stefan] Univ Appl Sci Coburg, Inst Bioanal, D-96450 Coburg, Germany</t>
  </si>
  <si>
    <t>Bahir Dar University; University of Gondar; Leipzig University; Leipzig University; Fraunhofer Gesellschaft; Leipzig University; Fraunhofer Gesellschaft; Leipzig University; Hochschule Coburg</t>
  </si>
  <si>
    <t>Biadglegne, F (corresponding author), Bahir Dar Univ, Coll Med &amp; Hlth Sci, POB 79, Bahir Dar, Ethiopia.;Biadglegne, F (corresponding author), Univ Leipzig, Fac Med, Inst Med Microbiol &amp; Epidemiol Infect Dis, D-04103 Leipzig, Germany.;Biadglegne, F (corresponding author), Univ Leipzig, Fac Med, Inst Clin Immunol, D-04103 Leipzig, Germany.</t>
  </si>
  <si>
    <t>fantahun.degeneh@medizin.uni-leipzig.de; johannes.schmidt@izi.fraunhofer.de; kathrin.engel@medizin.uni-leipzig.de; joerg.lehmann@izi.fraunhofer.de; robert.lehmann@izi.fraunhofer.de; anja.reinert@vetmed.uni-leipzig.de; brigitte.koenig@medizin.uni-leipzig.de; juergen.schiller@medizin.uni-leipzig.de; stefan.kalkhof@hs-coburg.de; ulrich.sack@medizin.uni-leipzig.de</t>
  </si>
  <si>
    <t>Kalkhof, Stefan/Z-2000-2019</t>
  </si>
  <si>
    <t>Kalkhof, Stefan/0000-0001-6121-7105; Konig, Brigitte/0000-0002-5073-3849; Reinert, Anja/0000-0002-3368-0028; Biadglegne, Fantahun/0000-0003-1340-607X; Schmidt, Johannes/0000-0002-2026-9715; Lehmann, Jorg/0000-0001-8560-648X</t>
  </si>
  <si>
    <t>10.3390/biomedicines10040783</t>
  </si>
  <si>
    <t>WOS:000785177900001</t>
  </si>
  <si>
    <t>Zheng, W; Ye, WZ; Wu, ZJ; Huang, XY; Xu, YJ; Chen, QY; Lin, ZZ; Chen, YY; Bai, PG; Chen, CB</t>
  </si>
  <si>
    <t>Zheng, Wei; Ye, Wangzhong; Wu, Zijie; Huang, Xinyi; Xu, Yuanji; Chen, Qinyan; Lin, Zhizhong; Chen, Yanyu; Bai, Penggang; Chen, Chuanben</t>
  </si>
  <si>
    <t>Identification of potential plasma biomarkers in early-stage nasopharyngeal carcinoma-derived exosomes based on RNA sequencing</t>
  </si>
  <si>
    <t>CANCER CELL INTERNATIONAL</t>
  </si>
  <si>
    <t>Nasopharyngeal carcinoma (NPC); Exosomes; Gene Expression Omnibus (GEO); Bioinformatics analysis; Kyoto encyclopedia of genes and genomes (KEGG)</t>
  </si>
  <si>
    <t>BackgroundEarly diagnosis of nasopharyngeal carcinoma (NPC) is vital to improve the prognosis of these patients. However, early diagnosis of NPC is typically challenging. Therefore, we explored the pathogenetic roles and associated mechanisms of exosomes in plasma of patients with early-stage NPC.MethodsExosomes in plasma were extracted by ultra-high-speed centrifugation. Western blot and transmission electron microscopy (TEM) were used to verify the purity of exosomes. The sequencing data (6 plasma samples from healthy volunteers vs. 6 NPC plasma samples) were analyzed by principal component analysis (PCA), DESeq2, gene ontology (GO), Kyoto encyclopedia of genes and genomes (KEGG), and TargetScan. The differentially expressed miRNAs (DEmiRNAs) were obtained from the dataset (GSE118720) downloaded from the Gene Expression Omnibus (GEO) repository. Additionally, the datasets downloaded from the GEO database (GSE12452, GSE13597, GSE53819, GSE64634) were used to predict the target genes and functions of hsa-miR-1301-3p. qPCR was applied to verify the differences in the expressions of hsa-miR-1301-3p between 10 normal plasma and 10 NPC plasma samples.ResultsWestern blot, TEM, and Nanoparticle Tracking Analysis showed adequate purity of the extracted exosomes. RNA-seq analysis revealed 21 upregulated miRNAs, and 10 downregulated miRNAs in plasma exosomes of early-stage NPC patients. GO analysis showed that the target genes of DEmiRNAs were mainly enriched in DNA synthesis and transcription regulation. KEGG analysis revealed that DEmiRNAs were mainly enriched in PI3K-Akt and MAPK signaling pathways. Moreover, the expression of hsa-mir-1301-3p was verified to be significantly upregulated in enlarged samples of plasma exosomes.ConclusionsWe identified several DEmiRNAs extracted from tumor-derived exosomes between normal plasma and early-stage NPC plasma. Bioinformatics analyses indicated that these DEmiRNAs may be related to NPC development. Our study may provide novel insights into underlying biomarkers and mechanisms of plasma exosomes in early-stage NPC.</t>
  </si>
  <si>
    <t>[Zheng, Wei; Ye, Wangzhong; Wu, Zijie; Huang, Xinyi; Xu, Yuanji; Chen, Qinyan; Lin, Zhizhong; Bai, Penggang; Chen, Chuanben] Fujian Med Univ Canc Hosp, Fujian Canc Hosp, Dept Radiat Oncol, 420 Fuma Rd, Fuzhou 350014, Fujian, Peoples R China; [Ye, Wangzhong; Wu, Zijie; Huang, Xinyi; Chen, Qinyan] Fujian Med Univ, Fuzhou, Fujian, Peoples R China; [Chen, Yanyu] Univ South China, Sch Nucl Sci &amp; Technol, Hengyang, Hunan, Peoples R China</t>
  </si>
  <si>
    <t>Fujian Medical University; University of South China</t>
  </si>
  <si>
    <t>Chen, CB (corresponding author), Fujian Med Univ Canc Hosp, Fujian Canc Hosp, Dept Radiat Oncol, 420 Fuma Rd, Fuzhou 350014, Fujian, Peoples R China.</t>
  </si>
  <si>
    <t>chenchuanben2010@126.com</t>
  </si>
  <si>
    <t>1475-2867</t>
  </si>
  <si>
    <t>MAR 31</t>
  </si>
  <si>
    <t>10.1186/s12935-021-01881-4</t>
  </si>
  <si>
    <t>WOS:000636450600001</t>
  </si>
  <si>
    <t>Mondal, SK; Whiteside, TL</t>
  </si>
  <si>
    <t>Mondal, Sujan Kumar; Whiteside, Theresa L.</t>
  </si>
  <si>
    <t>Proteomic profiles of melanoma cell-derived exosomes in plasma: discovery of potential biomarkers of melanoma progression</t>
  </si>
  <si>
    <t>MELANOMA RESEARCH</t>
  </si>
  <si>
    <t>biomarkers; exosomes; liquid biopsy; melanoma; proteomics</t>
  </si>
  <si>
    <t>Cancer liquid biopsy encompassing circulating tumor cells (CTC), circulating tumor DNA (ctDNA) and/or tumor-derived exosomes (TEX) emerges as a novel approach to early detection, noninvasive monitoring of responses to therapy and predicting patient survival. TEX are a key component of liquid biopsy because they mimic tumor cells in their proteomic and genetic content. Two recent proteomic analyses of TEX released into plasma by melanoma cells confirms the potential of TEX as diagnostic and prognostic markers in melanoma.</t>
  </si>
  <si>
    <t>[Mondal, Sujan Kumar; Whiteside, Theresa L.] Univ Pittsburgh, Sch Med, Dept Pathol, Pittsburgh, PA USA; [Whiteside, Theresa L.] Univ Pittsburgh, Sch Med, Dept Immunol, Pittsburgh, PA USA; [Whiteside, Theresa L.] Univ Pittsburgh, Sch Med, Dept Otolaryngol, Pittsburgh, PA USA; [Whiteside, Theresa L.] UPMC Hillman Canc Ctr, UPCI Res Pavil,Suite 1-27,5117 Ctr Ave, Pittsburgh, PA 15213 USA</t>
  </si>
  <si>
    <t>Pennsylvania Commonwealth System of Higher Education (PCSHE); University of Pittsburgh; Pennsylvania Commonwealth System of Higher Education (PCSHE); University of Pittsburgh; Pennsylvania Commonwealth System of Higher Education (PCSHE); University of Pittsburgh</t>
  </si>
  <si>
    <t>Whiteside, TL (corresponding author), UPMC Hillman Canc Ctr, UPCI Res Pavil,Suite 1-27,5117 Ctr Ave, Pittsburgh, PA 15213 USA.</t>
  </si>
  <si>
    <t>whitesidetl@upmc.edu</t>
  </si>
  <si>
    <t>Mondal, Sujan K./AAI-3850-2020</t>
  </si>
  <si>
    <t>Mondal, Sujan K./0000-0003-3241-2504</t>
  </si>
  <si>
    <t>0960-8931</t>
  </si>
  <si>
    <t>1473-5636</t>
  </si>
  <si>
    <t>10.1097/CMR.0000000000000762</t>
  </si>
  <si>
    <t>Oncology; Dermatology; Medicine, Research &amp; Experimental</t>
  </si>
  <si>
    <t>Oncology; Dermatology; Research &amp; Experimental Medicine</t>
  </si>
  <si>
    <t>WOS:000693941000009</t>
  </si>
  <si>
    <t>Yoo, JY; Rho, M; You, YA; Kwon, EJ; Kim, MH; Kym, S; Jee, YK; Kim, YK; Kim, YJ</t>
  </si>
  <si>
    <t>Yoo, Jae Young; Rho, Mina; You, Young-Ah; Kwon, Eun Jin; Kim, Min-Hye; Kym, Sungmin; Jee, Young-Koo; Kim, Yoon-Keun; Kim, Young Ju</t>
  </si>
  <si>
    <t>16S rRNA gene-based metagenomic analysis reveals differences in bacteria-derived extracellular vesicles in the urine of pregnant and non-pregnant women</t>
  </si>
  <si>
    <t>EXPERIMENTAL AND MOLECULAR MEDICINE</t>
  </si>
  <si>
    <t>MEMBRANE-VESICLES; INTRAAMNIOTIC INFLAMMATION; INTRAUTERINE INFECTION; TRACT-INFECTIONS; AMNIOTIC-FLUID; ENDOCRINE; RUPTURE; DISEASE; TH1</t>
  </si>
  <si>
    <t>Recent evidence has indicated that bacteria-derived extracellular vesicles (EVs) are important for host-microbe communication. The aims of the present study were to evaluate whether bacteria-derived EVs are excreted via the urinary tract and to compare the composition of bacteria-derived EVs in the urine of pregnant and non-pregnant women. Seventy-three non-pregnant and seventy-four pregnant women were enrolled from Dankook University and Ewha Womans University hospitals. DNA was extracted from urine EVs after EV isolation using the differential centrifugation method. 16S ribosomal RNA (16S rRNA) gene sequencing was performed using high-throughput 454 pyrosequencing after amplification of the V1-V3 region of the 16S rDNA. The composition of 13 taxa differed significantly between the pregnant and non-pregnant women. At the genus level, Bacillus spp. EVs were more significantly enriched in the urine of the pregnant women than in that of the non-pregnant women (45.61% vs 0.12%, respectively). However, Pseudomonas spp. EVs were more dominant in non-pregnant women than in pregnant women (13.2% vs 4.09%, respectively). Regarding the compositional difference between pregnant women with normal and preterm delivery, EVs derived from Ureaplasma spp. and the family Veillonellaceae (including Megasphaera spp.) were more abundant in the urine of preterm-delivered women than in that of women with normal deliveries. Taken together, these data showed that Bacillus spp. EVs predominate in the urine of pregnant women, whereas Pseudomonas spp. EVs predominate in the urine of non-pregnant women; this suggests that Bacillus spp. EVs might have an important role in the maintenance of pregnancy.</t>
  </si>
  <si>
    <t>[Yoo, Jae Young; You, Young-Ah; Kwon, Eun Jin; Kim, Young Ju] Ewha Womans Univ, Dept Obstet &amp; Gynecol, Sch Med, Ewha Med Ctr, 1071 Anyangcheon Ro, Seoul 158710, South Korea; [Yoo, Jae Young; You, Young-Ah; Kwon, Eun Jin; Kim, Young Ju] Ewha Womans Univ, Ewha Med Inst, Ewha Med Ctr, 1071 Anyangcheon Ro, Seoul 158710, South Korea; [Yoo, Jae Young] Natl Agcy Breeding Stock Improvement, Natl Inst Anim Sci, Cheonan, South Korea; [Rho, Mina] Hanyang Univ, Dept Comp Engn, Seoul 133791, South Korea; [Kim, Min-Hye] Ewha Womans Univ, Dept Internal Med, Sch Med, Seoul, South Korea; [Kym, Sungmin] Inje Univ, Dept Internal Med, Coll Med, Busan, South Korea; [Jee, Young-Koo] Dankook Univ, Dept Internal Med, Coll Med, Cheonan, South Korea; [Kim, Yoon-Keun] Ewha Womans Univ, Dept Med, Sch Med, 1071 Anyangcheon Ro, Seoul 158710, South Korea; [Kim, Yoon-Keun] Ewha Med Ctr, Ewha Inst Convergence Med, 1071 Anyangcheon Ro, Seoul 158710, South Korea</t>
  </si>
  <si>
    <t>Ewha Womans University; Ewha Womans University; National Institute of Animal Science; Hanyang University; Ewha Womans University; Inje University; Dankook University; Ewha Womans University</t>
  </si>
  <si>
    <t>Kim, YJ (corresponding author), Ewha Womans Univ, Dept Obstet &amp; Gynecol, Sch Med, Ewha Med Ctr, 1071 Anyangcheon Ro, Seoul 158710, South Korea.;Kim, YJ (corresponding author), Ewha Womans Univ, Ewha Med Inst, Ewha Med Ctr, 1071 Anyangcheon Ro, Seoul 158710, South Korea.;Kim, YK (corresponding author), Ewha Womans Univ, Dept Med, Sch Med, 1071 Anyangcheon Ro, Seoul 158710, South Korea.;Kim, YK (corresponding author), Ewha Med Ctr, Ewha Inst Convergence Med, 1071 Anyangcheon Ro, Seoul 158710, South Korea.</t>
  </si>
  <si>
    <t>juinea@ewha.ac.kr; kkyj@ewha.ac.kr</t>
  </si>
  <si>
    <t>Kim, Young Ju/P-1853-2014</t>
  </si>
  <si>
    <t>Kim, Young Ju/0000-0002-3153-3008; Kim, Sungmin/0000-0003-3518-966X; You, Younag-Ah/0000-0001-6714-7144; Yoo, Jae Young/0000-0001-7119-5421; Jee, Young-Koo/0000-0001-5800-8038</t>
  </si>
  <si>
    <t>1226-3613</t>
  </si>
  <si>
    <t>2092-6413</t>
  </si>
  <si>
    <t>e208</t>
  </si>
  <si>
    <t>10.1038/emm.2015.110</t>
  </si>
  <si>
    <t>WOS:000369891800002</t>
  </si>
  <si>
    <t>Wen, ZZT; Jorgensen, AN; Huang, XC; Ellepola, K; Chapman, L; Wu, H; Brady, LJ</t>
  </si>
  <si>
    <t>Wen, Zezhang T.; Jorgensen, Ashton N.; Huang, Xiaochang; Ellepola, Kassapa; Chapman, Lynne; Wu, Hui; Brady, L. Jeannine</t>
  </si>
  <si>
    <t>Multiple factors are involved in regulation of extracellular membrane vesicle biogenesis in Streptococcus mutans</t>
  </si>
  <si>
    <t>MOLECULAR ORAL MICROBIOLOGY</t>
  </si>
  <si>
    <t>biofilm formation; membrane vesicles; Streptococcus mutans; stress tolerance response; vesiculogenesis</t>
  </si>
  <si>
    <t>BIOFILM FORMATION; DNA; DEFICIENCY; EXPRESSION; VIRULENCE; STRAINS; RELEASE; OPERON; MATRIX; GROWTH</t>
  </si>
  <si>
    <t>Streptococcus mutans, a major etiological agent of human dental caries, produces membrane vesicles (MVs) that contain protein and extracellular DNA. In this study, functional genomics, along with in vitro biofilm models, was used to identify factors that regulate MV biogenesis. Our results showed that when added to growth medium, MVs significantly enhanced biofilm formation by S. mutans, especially during growth in sucrose. This effect occurred in the presence and absence of added human saliva. Functional genomics revealed several genes, including sfp, which have a major effect on S. mutans MVs. In Bacillus sp. sfp encodes a 4 '-phosphopantetheinyl transferase that contributes to surfactin biosynthesis and impacts vesiculogenesis. In S. mutans, sfp resides within the TnSmu2 Genomic Island that supports pigment production associated with oxidative stress tolerance. Compared to the UA159 parent, the Delta sfp mutant, TW406, demonstrated a 1.74-fold (p .05) higher MV yield as measured by BCA protein assay. This mutant also displayed increased susceptibility to low pH and oxidative stressors, as demonstrated by acid killing and hydrogen peroxide challenge assays. Deficiency of bacA, a putative surfactin synthetase homolog within TnSmu2, and especially dac and pdeA that encode a di-adenylyl cyclase and a phosphodiesterase, respectively, also significantly increased MV yield (p &lt; .05). However, elimination of bacA2, a bacitracin synthetase homolog, resulted in a &gt;1.5-fold (p .05) reduction of MV yield. These results demonstrate that S. mutans MV properties are regulated by genes within and outside of the TnSmu2 island, and that as a major particulate component of the biofilm matrix, MVs significantly influence biofilm formation.</t>
  </si>
  <si>
    <t>[Wen, Zezhang T.; Jorgensen, Ashton N.; Huang, Xiaochang; Ellepola, Kassapa; Chapman, Lynne] Louisiana State Univ Hlth, Dept Oral &amp; Craniofacial Biol, Sch Dent, New Orleans, LA 70112 USA; [Wen, Zezhang T.; Jorgensen, Ashton N.; Huang, Xiaochang; Ellepola, Kassapa; Chapman, Lynne] Louisiana State Univ Hlth, Sch Med, Dept Microbiol Immunol &amp; Parasitol, New Orleans, LA 70112 USA; [Brady, L. Jeannine] Univ Florida, Sch Dent, Dept Oral Biol, Gainesville, FL USA; [Wu, Hui] Oregon Hlth &amp; Sci Univ, Sch Dent, Dept Integrat Biomed &amp; Diagnost Sci, Portland, OR 97201 USA</t>
  </si>
  <si>
    <t>Louisiana State University System; Louisiana State University Health Sciences Center New Orleans; Louisiana State University System; Louisiana State University Health Sciences Center New Orleans; State University System of Florida; University of Florida; Oregon Health &amp; Science University</t>
  </si>
  <si>
    <t>Wen, ZZT (corresponding author), Louisiana State Univ Hlth, Dept Oral &amp; Craniofacial Biol, Sch Dent, New Orleans, LA 70112 USA.;Wen, ZZT (corresponding author), Louisiana State Univ Hlth, Sch Med, Dept Microbiol Immunol &amp; Parasitol, New Orleans, LA 70112 USA.</t>
  </si>
  <si>
    <t>zwen@lsuhsc.edu</t>
  </si>
  <si>
    <t>Ellepola, Kassapa/AAA-7771-2021</t>
  </si>
  <si>
    <t>Ellepola, Kassapa/0000-0003-3806-9807; wen, zezhang/0000-0001-8540-3420</t>
  </si>
  <si>
    <t>2041-1006</t>
  </si>
  <si>
    <t>2041-1014</t>
  </si>
  <si>
    <t>10.1111/omi.12318</t>
  </si>
  <si>
    <t>Dentistry, Oral Surgery &amp; Medicine; Microbiology</t>
  </si>
  <si>
    <t>WOS:000595230300001</t>
  </si>
  <si>
    <t>Li, P; Wang, J; Gao, MQ; Wang, J; Ma, Y; Gu, YQ</t>
  </si>
  <si>
    <t>Li, Ping; Wang, Jie; Gao, Mengqiu; Wang, Jue; Ma, Yi; Gu, Yueqing</t>
  </si>
  <si>
    <t>Membrane Feature-Inspired Profiling of Extracellular Vesicles for Pancreatic Cancer Diagnosis</t>
  </si>
  <si>
    <t>EXOSOMES; MICROVESICLES</t>
  </si>
  <si>
    <t>Extracellular vesicles (EVs) have recently emerged as a promising tumor biomarker, and EV phenotyping offers many benefits for cancer diagnosis. However, the practicality of EV assays remains a challenge due to macromolecule disturbances, biomarker heterogeneities, and EV abundance limitations. Here, we demonstrate a membrane-based biosensor for precise and sensitive EV identification. The sensor synergistically integrates EV capture and detection by virtue of EV membrane features (membrane protein and lipid bilayer), comprising antibody-conjugated magnetic beads (AbMBs) and duplex-specific nuclease (DSN)-mediated amplification cycles. Bivalent cholesterol (biChol)modified RNA-DNA duplexes are designed to insert into the EV membrane, transforming EV signals into RNA signals and initiating the signal amplification. The membrane-based signal production pattern eliminates protein interference. By employing four antibodies specific to PCa-related membrane proteins, the AbMB-biChol platform enables the successful differentiation and monitoring of PCa-related EVs and distinguishes PCa patients from healthy donors with improved efficacy, exhibiting superior efficiency over the analyses based on clinically used biomarker CA19-9 and PCa-related proteins. As such, the developed system has great potential for clinical PCa diagnosis.</t>
  </si>
  <si>
    <t>[Li, Ping; Gao, Mengqiu; Wang, Jue; Ma, Yi; Gu, Yueqing] China Pharmaceut Univ, Sch Engn, Dept Biomed Engn, Nanjing 211198, Peoples R China; [Wang, Jie] Qingdao Univ, Affiliated Hosp, Qingdao 266071, Peoples R China</t>
  </si>
  <si>
    <t>China Pharmaceutical University; Qingdao University</t>
  </si>
  <si>
    <t>Ma, Y; Gu, YQ (corresponding author), China Pharmaceut Univ, Sch Engn, Dept Biomed Engn, Nanjing 211198, Peoples R China.</t>
  </si>
  <si>
    <t>yima@163.com; guengineering@cpu.edu.cn</t>
  </si>
  <si>
    <t>JUL 20</t>
  </si>
  <si>
    <t>10.1021/acs.analchem.1c01712</t>
  </si>
  <si>
    <t>WOS:000677481700025</t>
  </si>
  <si>
    <t>Teng, H; Hu, M; Yuan, LX; Liu, YJ; Guo, X; Zhang, WJ; Jia, RZ</t>
  </si>
  <si>
    <t>Teng, Hong; Hu, Min; Yuan, Li-Xing; Liu, YueJian; Guo, Xia; Zhang, Wen-Jing; Jia, Rui-Zhen</t>
  </si>
  <si>
    <t>Suppression of inflammation by tumor-derived exosomes: a kind of natural liposome packaged with multifunctional proteins</t>
  </si>
  <si>
    <t>JOURNAL OF LIPOSOME RESEARCH</t>
  </si>
  <si>
    <t>Tumor-derived exosomes; anti-immunity; anti-inflammation; mutual complementarities</t>
  </si>
  <si>
    <t>FAS LIGAND; OVARIAN-CANCER; DENDRITIC CELLS; IMMUNOTHERAPY; MICROVESICLES; SECRETION; APOPTOSIS; VACCINE; MECHANISM; PREGNANCY</t>
  </si>
  <si>
    <t>Exosomes are small-membrane vesicles secreted by hematopoietic and malignant epithelial cells as well as trophoblasts. The composition of cancerous exosomes has been proven to play pivotal roles in the maintenance of the microenvironment that is beneficial for the progression of cancer, such as Fas-ligand-triggered lymphocyte apoptosis. We supposed that the immunosuppressive effect of cancerous exosomes might be helpful in the treatment of diseases characterized by overactivation of the immune system and subsequent tissue injury. The aim of this study was to evaluate the protective effect of tumor-derived exosomes in the mice model of lipopolysaccharide (LPS)-induced inflammation. Tetrazolium (MTT) and DNA electrophoresis were used to measure the cytotoxicity of exosomes on lymphocytes. Pathologic observation of tissue sections, serologic analysis of aspartate aminotransferase/alanine aminotransferase (AST/ALT), and urinary analysis of protein were used to assess the protection effect of exosomes in LPS-induced multiorgan damage. In vitro outcomes of MTT and DNA electrophoresis showed the cytotoxicity of exosomes on lymphocytes. Together with the alleviation of organ damages evaluated by urine protein, serum AST/ALT, and pathologic analysis, we confirmed the possibility that pretreatment of mice with exosomes, produced by H22 hepatic tumor cells, resulted in protection against LPS-induced tissue damage, which is caused by overactivation of the immune system and inflammation response. This therapeutic strategy will raise an interesting way to search new therapeutics in pairs of diseases with complementarities in etiology and pathology, namely, a strategy of taking advantage of the mutual complementarities between diseases.</t>
  </si>
  <si>
    <t>[Hu, Min; Yuan, Li-Xing; Guo, Xia; Zhang, Wen-Jing; Jia, Rui-Zhen] Sichuan Univ, Open Lab, W China Univ Hosp 2, Chengdu 610041, Sichuan, Peoples R China; [Teng, Hong; Liu, YueJian] Peoples Hosp Sichuan Prov, Div Resp Dis, Chengdu, Peoples R China</t>
  </si>
  <si>
    <t>Sichuan University</t>
  </si>
  <si>
    <t>Hu, M (corresponding author), Sichuan Univ, Open Lab, W China Univ Hosp 2, People S Rd 20, Chengdu 610041, Sichuan, Peoples R China.</t>
  </si>
  <si>
    <t>gym_w@163.com</t>
  </si>
  <si>
    <t>0898-2104</t>
  </si>
  <si>
    <t>1532-2394</t>
  </si>
  <si>
    <t>10.3109/08982104.2012.710911</t>
  </si>
  <si>
    <t>Biochemistry &amp; Molecular Biology; Pharmacology &amp; Pharmacy</t>
  </si>
  <si>
    <t>WOS:000311552700010</t>
  </si>
  <si>
    <t>Hoang, DH; Nguyen, TD; Nguyen, HP; Nguyen, XH; Do, PTX; Dang, VD; Dam, PTM; Bui, HTH; Trinh, MQ; Vu, DM; Hoang, NTM; Thanh, LN; Than, UTT</t>
  </si>
  <si>
    <t>Diem Huong Hoang; Tu Dac Nguyen; Hoang-Phuong Nguyen; Xuan-Hung Nguyen; Phuong Thi Xuan Do; Van Duc Dang; Phuong Thi Minh Dam; Hue Thi Hong Bui; Mai Quynh Trinh; Duc Minh Vu; Nhung Thi My Hoang; Liem Nguyen Thanh; Uyen Thi Trang Than</t>
  </si>
  <si>
    <t>Differential Wound Healing Capacity of Mesenchymal Stem Cell-Derived Exosomes Originated From Bone Marrow, Adipose Tissue and Umbilical Cord Under Serum- and Xeno-Free Condition</t>
  </si>
  <si>
    <t>exosomes; mesenchymal stem cells; BMMSC-derived exosomes; ADMSC-derived exosomes; UCMSC-derived exosomes; growth factors; wound healing</t>
  </si>
  <si>
    <t>ENHANCE ANGIOGENESIS; DERMAL FIBROBLASTS; PROGENITOR CELLS; PROLIFERATION; MIGRATION; GROWTH; EXPRESSION</t>
  </si>
  <si>
    <t>Exosomes are nano-scale and closed membrane vesicles which are promising for therapeutic applications due to exosome-enclosed therapeutic molecules such as DNA, small RNAs, proteins and lipids. Recently, it has been demonstrated that mesenchymal stem cell (MSC)-derived exosomes have capacity to regulate many biological events associated with wound healing process, such as cell proliferation, cell migration and blood vessel formation. This study investigated the regenerative potentials for cutaneous tissue, in regard to growth factors associated with wound healing and skin cell proliferation and migration, by exosomes released from primary MSCs originated from bone marrow (BM), adipose tissue (AD), and umbilical cord (UC) under serum- and xeno-free condition. We found crucial wound healing-mediated growth factors, such as vascular endothelial growth factor A (VEGF-A), fibroblast growth factor 2 (FGF-2), hepatocyte growth factor (HGF), and platelet-derived growth factor BB (PDGF-BB) in exosomes derived from all three MSC sources. However, expression levels of these growth factors in exosomes were influenced by MSC origins, especially transforming growth factor beta (TGF-beta) was only detected in UCMSC-derived exosomes. All exosomes released by three MSCs sources induced keratinocyte and fibroblast proliferation and migration; and, the induction of cell migration is a dependent manner with the higher dose of exosomes was used (20 mu g), the faster migration rate was observed. Additionally, the influences of exosomes on cell proliferation and migration was associated with exosome origins and also target cells of exosomes that the greatest induction of primary dermal fibroblasts belongs to BMMSC-derived exosomes and keratinocytes belongs to UCMSC-derived exosomes. Data from this study indicated that BMMSCs and UCMSCs under clinical condition secreted exosomes are promising to develop into therapeutic products for wound healing treatment.</t>
  </si>
  <si>
    <t>[Diem Huong Hoang; Tu Dac Nguyen; Hoang-Phuong Nguyen; Xuan-Hung Nguyen; Phuong Thi Xuan Do; Van Duc Dang; Phuong Thi Minh Dam; Hue Thi Hong Bui; Mai Quynh Trinh; Duc Minh Vu; Nhung Thi My Hoang; Liem Nguyen Thanh; Uyen Thi Trang Than] Vinmec Hlth Care Syst, Vinmec Res Inst Stem Cell &amp; Gene Technol VRISG, Hanoi, Vietnam; [Tu Dac Nguyen] Vinmec Healthcare Syst, Vinmec Hightech Ctr, Hanoi, Vietnam; [Diem Huong Hoang; Hoang-Phuong Nguyen; Xuan-Hung Nguyen; Phuong Thi Minh Dam; Hue Thi Hong Bui; Mai Quynh Trinh; Duc Minh Vu; Liem Nguyen Thanh; Uyen Thi Trang Than] Vin Univ, Coll Hlth Sci, Hanoi, Vietnam; [Phuong Thi Xuan Do; Van Duc Dang; Nhung Thi My Hoang] Viet Nam Univ, Univ Sci, Hanoi, Vietnam</t>
  </si>
  <si>
    <t>Vietnam National University Hanoi</t>
  </si>
  <si>
    <t>Than, UTT (corresponding author), Vinmec Hlth Care Syst, Vinmec Res Inst Stem Cell &amp; Gene Technol VRISG, Hanoi, Vietnam.;Than, UTT (corresponding author), Vin Univ, Coll Hlth Sci, Hanoi, Vietnam.</t>
  </si>
  <si>
    <t>v.uyenttt@vinmec.com</t>
  </si>
  <si>
    <t>Uyen, Than Thi Trang/0000-0002-2847-7068; Nguyen, Phuong/0000-0001-9544-5835</t>
  </si>
  <si>
    <t>10.3389/fmolb.2020.00119</t>
  </si>
  <si>
    <t>WOS:000549103600001</t>
  </si>
  <si>
    <t>Wan, Y; Maurer, M; He, HZ; Xia, YQ; Hao, SJ; Zhang, WL; Yee, NS; Zheng, SY</t>
  </si>
  <si>
    <t>Wan, Yuan; Maurer, Mackenzie; He, Hong-Zhang; Xia, Yi-Qiu; Hao, Si-Jie; Zhang, Wen-Long; Yee, Nelson S.; Zheng, Si-Yang</t>
  </si>
  <si>
    <t>Enrichment of extracellular vesicles with lipid nanoprobe functionalized nanostructured silica</t>
  </si>
  <si>
    <t>Nanoscale extracellular vesicles (nEVs) have recently demonstrated potential value in cancer diagnostics and treatment monitoring, but translation has been limited by technical challenges in nEV isolation. Thus, we have developed a one-step nEV isolation platform that utilizes nEV size-matched silica nanostructures and a surface-conjugated lipid nanoprobe with an integrated microfluidic mixer. The reported platform has 28.8% capture efficiency from pancreatic cancer plasma and can sufficiently enrich nEVs for simpler positive identification of point mutations, particularly KRAS, in nEV DNA from the plasma of pancreatic cancer patients.</t>
  </si>
  <si>
    <t>[Wan, Yuan; Maurer, Mackenzie; He, Hong-Zhang; Xia, Yi-Qiu; Hao, Si-Jie; Zhang, Wen-Long; Zheng, Si-Yang] Penn State Univ, Dept Biomed Engn, University Pk, PA 16802 USA; [Wan, Yuan; Maurer, Mackenzie; He, Hong-Zhang; Xia, Yi-Qiu; Hao, Si-Jie; Zhang, Wen-Long; Zheng, Si-Yang] Penn State Univ, Mat Res Inst, University Pk, PA 16802 USA; [Yee, Nelson S.] Penn State Canc Inst, Dept Med, Hematol Oncol, Hershey, PA 17033 USA; [Zheng, Si-Yang] Penn State Univ, Huck Inst Life Sci, University Pk, PA 16802 USA; [Zheng, Si-Yang] Penn State Univ, Dept Elect Engn, University Pk, PA 16802 USA</t>
  </si>
  <si>
    <t>Pennsylvania Commonwealth System of Higher Education (PCSHE); Pennsylvania State University; Pennsylvania State University - University Park; Pennsylvania Commonwealth System of Higher Education (PCSHE); Pennsylvania State University; Pennsylvania State University - University Park; Pennsylvania Commonwealth System of Higher Education (PCSHE); Pennsylvania State University; Penn State Health; Pennsylvania Commonwealth System of Higher Education (PCSHE); Pennsylvania State University; Pennsylvania State University - University Park; Pennsylvania Commonwealth System of Higher Education (PCSHE); Pennsylvania State University; Pennsylvania State University - University Park</t>
  </si>
  <si>
    <t>Zheng, SY (corresponding author), Penn State Univ, Dept Biomed Engn, University Pk, PA 16802 USA.;Zheng, SY (corresponding author), Penn State Univ, Mat Res Inst, University Pk, PA 16802 USA.;Yee, NS (corresponding author), Penn State Canc Inst, Dept Med, Hematol Oncol, Hershey, PA 17033 USA.;Zheng, SY (corresponding author), Penn State Univ, Huck Inst Life Sci, University Pk, PA 16802 USA.;Zheng, SY (corresponding author), Penn State Univ, Dept Elect Engn, University Pk, PA 16802 USA.</t>
  </si>
  <si>
    <t>nyee@pennstatehealth.psu.edu; sxz10@psu.edu</t>
  </si>
  <si>
    <t>Zheng, Si-Yang/N-5826-2016</t>
  </si>
  <si>
    <t>Zheng, Si-Yang/0000-0002-0616-030X; Yee, Nelson/0000-0002-1457-9047; Maurer Ditty, Mackenzie/0000-0003-0357-6753</t>
  </si>
  <si>
    <t>JUL 21</t>
  </si>
  <si>
    <t>10.1039/c8lc01359d</t>
  </si>
  <si>
    <t>WOS:000474900400002</t>
  </si>
  <si>
    <t>Hu, JM; Sheng, Y; Kwak, KJ; Shi, JF; Yu, BH; Lee, LJ</t>
  </si>
  <si>
    <t>Hu, Jiaming; Sheng, Yan; Kwak, Kwang Joo; Shi, Junfeng; Yu, Bohao; Lee, L. James</t>
  </si>
  <si>
    <t>A signal-amplifiable biochip quantifies extracellular vesicle-associated RNAs for early cancer detection</t>
  </si>
  <si>
    <t>POLYMER HYBRID NANOPARTICLES; TRANSFERRIN RECEPTOR; SYSTEMIC DELIVERY; EXOSOMES; GLYPICAN-1; GROWTH; EXTERNALIZATION; MICROVESICLES; METASTASIS; INHIBITION</t>
  </si>
  <si>
    <t>Detection of extracellular vesicle (EV)-associated RNAs with low expression levels in early-stage cancer remains a challenge and is highly valuable. Here, we report a nanoparticle-based biochip that could capture circulating EVs without isolation, brighten encapsulated RNAs, and amplify fluorescence signals in situ in a single step. We confine catalyzed hairpin DNA circuit (CHDC) in cationic lipid-polymer hybrid nanoparticles (LPHNs) that are tethered on a chip. LPHN features a core-shell-corona structure that facilitates the transfer and mixing of CHDC with EV-associated RNAs when forming the LPHN-EV nanocomplex. CHDC is triggered upon target RNA binding and quickly generate amplified signals. The signal amplification efficiency of LPHN-CHDC is demonstrated in artificial EVs, cancer cells, and cancer cell-derived EVs. We show that LPHN-CHDC biochip with signal amplification capability could selectively and sensitively identify low expression glypican-1 mRNA in serum EVs, distinguishing patients with early-and late-stage pancreatic cancer from healthy donors and patients with benign pancreatic disease.</t>
  </si>
  <si>
    <t>[Hu, Jiaming; Sheng, Yan; Kwak, Kwang Joo; Shi, Junfeng; Lee, L. James] Ohio State Univ, Dept Chem &amp; Biomol Engn, Columbus, OH 43210 USA; [Sheng, Yan] Yantai Univ, Coll Chem &amp; Chem Engn, Yantai, Peoples R China; [Yu, Bohao] East China Univ Sci &amp; Technol, Sch Chem &amp; Mol Engn, Shanghai 200237, Peoples R China</t>
  </si>
  <si>
    <t>Ohio State University; Yantai University; East China University of Science &amp; Technology</t>
  </si>
  <si>
    <t>Hu, JM; Sheng, Y; Lee, LJ (corresponding author), Ohio State Univ, Dept Chem &amp; Biomol Engn, Columbus, OH 43210 USA.;Sheng, Y (corresponding author), Yantai Univ, Coll Chem &amp; Chem Engn, Yantai, Peoples R China.</t>
  </si>
  <si>
    <t>jzh0019@gmail.com; sh-crystal@163.com; lee.31@osu.edu</t>
  </si>
  <si>
    <t>KWAK, KWANG JOO/AAR-2592-2021; Shi, Junfeng/C-6939-2018</t>
  </si>
  <si>
    <t>NOV 22</t>
  </si>
  <si>
    <t>10.1038/s41467-017-01942-1</t>
  </si>
  <si>
    <t>WOS:000416226200012</t>
  </si>
  <si>
    <t>Hargitai, R; Kis, D; Persa, E; Szatmari, T; Safrany, G; Lumniczky, K</t>
  </si>
  <si>
    <t>Hargitai, Rita; Kis, David; Persa, Eszter; Szatmari, Tunde; Safrany, Geza; Lumniczky, Katalin</t>
  </si>
  <si>
    <t>Oxidative Stress and Gene Expression Modifications Mediated by Extracellular Vesicles: An In Vivo Study of the Radiation-Induced Bystander Effect</t>
  </si>
  <si>
    <t>ANTIOXIDANTS</t>
  </si>
  <si>
    <t>antioxidant enzymes; apoptosis; DNA damage repair; extracellular vesicles; gene expression; ionising radiation; lipid peroxidation; oxidative damage</t>
  </si>
  <si>
    <t>STRAND BREAK REPAIR; IONIZING-RADIATION; DNA-DAMAGE; CELLS; ATM</t>
  </si>
  <si>
    <t>Radiation-induced bystander effect is a biological response in nonirradiated cells receiving signals from cells exposed to ionising radiation. The aim of this in vivo study was to analyse whether extracellular vesicles (EVs) originating from irradiated mice could induce modifications in the redox status and expression of radiation-response genes in bystander mice. C57BL/6 mice were whole-body irradiated with 0.1-Gy and 2-Gy X-rays, and EVs originating from mice irradiated with the same doses were injected into naive, bystander mice. Lipid peroxidation in the spleen and plasma reactive oxygen metabolite (ROM) levels increased 24 h after irradiation with 2 Gy. The expression of antioxidant enzyme genes and inducible nitric oxide synthase 2 (iNOS2) decreased, while cell cycle arrest-, senescence- and apoptosis-related genes were upregulated after irradiation with 2 Gy. In bystander mice, no significant alterations were observed in lipid peroxidation or in the expression of genes connected to cell cycle arrest, senescence and apoptosis. However, there was a systemic increase in the circulating ROM level after an intravenous EV injection, and EVs originating from 2-Gy-irradiated mice caused a reduced expression of antioxidant enzyme genes and iNOS2 in bystander mice. In conclusion, we showed that ionising radiation-induced alterations in the cellular antioxidant system can be transmitted in vivo in a bystander manner through EVs originating from directly irradiated animals.</t>
  </si>
  <si>
    <t>[Hargitai, Rita; Kis, David; Persa, Eszter; Szatmari, Tunde; Safrany, Geza; Lumniczky, Katalin] Natl Publ Hlth Ctr, Dept Radiobiol &amp; Radiohyg, Radiat Med Unit, H-1221 Budapest, Hungary</t>
  </si>
  <si>
    <t>Lumniczky, K (corresponding author), Natl Publ Hlth Ctr, Dept Radiobiol &amp; Radiohyg, Radiat Med Unit, H-1221 Budapest, Hungary.</t>
  </si>
  <si>
    <t>hargitai.rita@osski.hu; kis.david@osski.hu; persa.eszter@osski.hu; szatmari.tunde@osski.hu; safrany.geza@osski.hu; lumniczky.katalin@osski.hu</t>
  </si>
  <si>
    <t>Szatmari, Tunde/0000-0001-7727-9589; Safrany, Geza/0000-0001-9641-8732; Lumniczky, Katalin/0000-0001-8661-1854</t>
  </si>
  <si>
    <t>2076-3921</t>
  </si>
  <si>
    <t>10.3390/antiox10020156</t>
  </si>
  <si>
    <t>Biochemistry &amp; Molecular Biology; Chemistry, Medicinal; Food Science &amp; Technology</t>
  </si>
  <si>
    <t>Biochemistry &amp; Molecular Biology; Pharmacology &amp; Pharmacy; Food Science &amp; Technology</t>
  </si>
  <si>
    <t>WOS:000622007300001</t>
  </si>
  <si>
    <t>Pazzaglia, S; Tanno, B; De Stefano, I; Giardullo, P; Leonardi, S; Merla, C; Babini, G; Cagatay, ST; Mayah, A; Kadhim, M; Lyng, FM; von Toerne, C; Khan, ZN; Subedi, P; Tapio, S; Saran, A; Mancuso, M</t>
  </si>
  <si>
    <t>Pazzaglia, Simonetta; Tanno, Barbara; De Stefano, Ilaria; Giardullo, Paola; Leonardi, Simona; Merla, Caterina; Babini, Gabriele; Tuncay Cagatay, Seda; Mayah, Ammar; Kadhim, Munira; Lyng, Fiona M.; von Toerne, Christine; Khan, Zohaib N.; Subedi, Prabal; Tapio, Soile; Saran, Anna; Mancuso, Mariateresa</t>
  </si>
  <si>
    <t>Micro-RNA and Proteomic Profiles of Plasma-Derived Exosomes from Irradiated Mice Reveal Molecular Changes Preventing Apoptosis in Neonatal Cerebellum</t>
  </si>
  <si>
    <t>exosomes; miRNome; proteomics; ionizing radiation; neonatal cerebellum; apoptosis</t>
  </si>
  <si>
    <t>MESENCHYMAL STEM-CELLS; EXTRACELLULAR VESICLES; IONIZING-RADIATION; DNA-DAMAGE; BYSTANDER; INSIGHTS; CANCER; MOUSE; PROLIFERATION; INSTABILITY</t>
  </si>
  <si>
    <t>Cell communication via exosomes is capable of influencing cell fate in stress situations such as exposure to ionizing radiation. In vitro and in vivo studies have shown that exosomes might play a role in out-of-target radiation effects by carrying molecular signaling mediators of radiation damage, as well as opposite protective functions resulting in resistance to radiotherapy. However, a global understanding of exosomes and their radiation-induced regulation, especially within the context of an intact mammalian organism, has been lacking. In this in vivo study, we demonstrate that, compared to sham-irradiated (SI) mice, a distinct pattern of proteins and miRNAs is found packaged into circulating plasma exosomes after whole-body and partial-body irradiation (WBI and PBI) with 2 Gy X-rays. A high number of deregulated proteins (59% of WBI and 67% of PBI) was found in the exosomes of irradiated mice. In total, 57 and 13 miRNAs were deregulated in WBI and PBI groups, respectively, suggesting that the miRNA cargo is influenced by the tissue volume exposed to radiation. In addition, five miRNAs (miR-99b-3p, miR-200a-3p, miR-200a, miR-182-5p, miR-182) were commonly overexpressed in the exosomes from the WBI and PBI groups. In this study, particular emphasis was also given to the determination of the in vivo effect of exosome transfer by intracranial injection in the highly radiosensitive neonatal cerebellum at postnatal day 3. In accordance with a major overall anti-apoptotic function of the commonly deregulated miRNAs, here, we report that exosomes from the plasma of irradiated mice, especially in the case of WBI, prevent radiation-induced apoptosis, thus holding promise for exosome-based future therapeutic applications against radiation injury.</t>
  </si>
  <si>
    <t>[Pazzaglia, Simonetta; Tanno, Barbara; De Stefano, Ilaria; Giardullo, Paola; Leonardi, Simona; Merla, Caterina; Saran, Anna; Mancuso, Mariateresa] Agenzia Nazl Nuove Tecnol, Energia &amp; Sviluppo Econ Sostenibile ENEA, Lab Biomed Technol, I-00123 Rome, Italy; [Babini, Gabriele] Fdn Policlin Univ Gemelli, Ist Ricovero &amp; Cura Carattere Sci IRCCS, Dept Woman &amp; Child Hlth &amp; Publ Hlth, I-00168 Rome, Italy; [Tuncay Cagatay, Seda; Mayah, Ammar; Kadhim, Munira] Oxford Brookes Univ, Dept Biol &amp; Med Sci, Oxford OX3 0BP, England; [Lyng, Fiona M.] Technol Univ Dublin TU Dublin, FOCAS Res Inst, Dublin D07 EWV4, Ireland; [von Toerne, Christine; Khan, Zohaib N.; Subedi, Prabal; Tapio, Soile] German Res Ctr Environm Hlth GmbH HMGU, Helmholtz Zentrum Munchen, Inst Radiat Biol, D-85764 Neuherberg, Germany</t>
  </si>
  <si>
    <t>Italian National Agency New Technical Energy &amp; Sustainable Economics Development; Catholic University of the Sacred Heart; Fondazione IRCCS Istituto Nazionale Tumori Milan; Oxford Brookes University; Helmholtz Association; Helmholtz-Center Munich - German Research Center for Environmental Health</t>
  </si>
  <si>
    <t>Pazzaglia, S; Mancuso, M (corresponding author), Agenzia Nazl Nuove Tecnol, Energia &amp; Sviluppo Econ Sostenibile ENEA, Lab Biomed Technol, I-00123 Rome, Italy.</t>
  </si>
  <si>
    <t>simonetta.pazzaglia@enea.it; barbara.tanno@enea.it; ilaria.destefano@enea.it; paola.giardullo@enea.it; simona.leonardi@enea.it; caterina.merla@enea.it; gabriele.babini@guest.policlinicogemelli.it; stuncay-cagatay@brookes.ac.uk; amayah@brookes.ac.uk; mkadhim@brookes.ac.uk; fiona.lyng@tudublin.ie; vontoerne@helmholtz-muenchen.de; zohaib.khan@helmholtz-muenchen.de; prabal.subedi@helmholtz-muenchen.de; soile.tapio@helmholtz-muenchen.de; annasaran60@gmail.com; mariateresa.mancuso@enea.it</t>
  </si>
  <si>
    <t>khan, zohaib nisar/AAB-4678-2021; Tapio, Soile/CAJ-5871-2022; Tapio, Soile/M-7358-2014; von Toerne, Christine/B-2233-2013</t>
  </si>
  <si>
    <t>khan, zohaib nisar/0000-0001-9233-8639; Babini, Gabriele/0000-0002-2656-0757; , SEDA/0000-0001-6045-5523; Lyng, Fiona/0000-0002-9876-963X; Mancuso, Mariateresa/0000-0002-0912-9287; Tanno, Barbara/0000-0001-6098-699X; Tapio, Soile/0000-0001-9860-3683; von Toerne, Christine/0000-0002-4132-4322; Merla, Caterina/0000-0001-8612-9566</t>
  </si>
  <si>
    <t>10.3390/ijms23042169</t>
  </si>
  <si>
    <t>WOS:000763693300001</t>
  </si>
  <si>
    <t>Cheng, YH; Xie, QH; He, M; Chen, BB; Chen, G; Yin, X; Kang, Q; Xu, Y; Hu, B</t>
  </si>
  <si>
    <t>Cheng, Yuhuan; Xie, Qihui; He, Man; Chen, Beibei; Chen, Gang; Yin, Xiao; Kang, Qi; Xu, Yan; Hu, Bin</t>
  </si>
  <si>
    <t>Sensitive detection of exosomes by gold nanoparticles labeling inductively coupled plasma mass spectrometry based on cholesterol recognition and rolling circle amplification</t>
  </si>
  <si>
    <t>ANALYTICA CHIMICA ACTA</t>
  </si>
  <si>
    <t>Oral squamous cell carcinoma; Rolling circle amplification; Gold nanoparticles; Inductively coupled plasma mass spectrometry; Cholesterol</t>
  </si>
  <si>
    <t>ASSEMBLIES</t>
  </si>
  <si>
    <t>Exosomes, potential biomarkers for liquid biopsy, provide a promising opportunity for early cancer diagnosis in a noninvasive manner. However, direct analysis of exosomes in complicated biological samples is still challenging. Herein, a cholesterol recognition assay was proposed for detection of exosomes by gold nanoparticles (Au NPs) labeling inductively coupled plasma mass spectrometry. Specifically, exosomes were captured by anti-CD63, and then cholesterol-modified rolling circle amplification product was inserted into the membrane of exosomes for signal amplification. Simultaneously, Au NPs-labelled DNA was prepared for labeling and read-out signal. The proposed method achieved the quantification of the exosome concentration in a range of 10-106 particles/mu L with a limit of detection of 1.5 particles/mu L. The method was applied for the direct detection of exosomes in human serum in a purification-free way, and the analytical result coincided with that obtained by nanoparticle tracking analysis. Real sample analysis manifested that the exosome concentration in the serum of oral squamous cell carcinoma patients was higher than that in the healthy volunteers' serum. The developed method is sensitive, selective, accurate and can be used for the direct detection of exosomes in human serum, providing a new opportunity for exosome-based liquid biopsy in early cancer diagnosis.</t>
  </si>
  <si>
    <t>[Cheng, Yuhuan; He, Man; Chen, Beibei; Yin, Xiao; Kang, Qi; Xu, Yan; Hu, Bin] Wuhan Univ, Dept Chem, Wuhan 430072, Peoples R China; [Xie, Qihui; Chen, Gang] Wuhan Univ, Sch &amp; Hosp Stomatol, State Key Lab Breeding Base Basic Sci Stomatol Hub, Wuhan 430079, Peoples R China; [Xie, Qihui; Chen, Gang] Wuhan Univ, Sch &amp; Hosp Stomatol, Dept Oral &amp; Maxillofacial Surg, Wuhan 430079, Peoples R China; [Xie, Qihui; Chen, Gang] Wuhan Univ, Sch &amp; Hosp Stomatol, Key Lab Oral Biomed Minist Educ, Wuhan 430079, Peoples R China</t>
  </si>
  <si>
    <t>Wuhan University; Wuhan University; Wuhan University; Wuhan University</t>
  </si>
  <si>
    <t>Hu, B (corresponding author), Wuhan Univ, Dept Chem, Wuhan 430072, Peoples R China.</t>
  </si>
  <si>
    <t>binhu@whu.edu.cn</t>
  </si>
  <si>
    <t>0003-2670</t>
  </si>
  <si>
    <t>1873-4324</t>
  </si>
  <si>
    <t>10.1016/j.aca.2022.339938</t>
  </si>
  <si>
    <t>WOS:000808280900005</t>
  </si>
  <si>
    <t>Hinestrosa, JP; Searson, DJ; Lewis, JM; Kinana, A; Perrera, O; Dobrovolskaia, I; Tran, K; Turner, R; Balcer, HI; Clark, I; Bodkin, D; Hoon, DSB; Krishnan, R</t>
  </si>
  <si>
    <t>Hinestrosa, Juan Pablo; Searson, David J.; Lewis, Jean M.; Kinana, Alfred; Perrera, Orlando; Dobrovolskaia, Irina; Tran, Kevin; Turner, Robert; Balcer, Heath, I; Clark, Iryna; Bodkin, David; Hoon, Dave S. B.; Krishnan, Rajaram</t>
  </si>
  <si>
    <t>Simultaneous Isolation of Circulating Nucleic Acids and EV-Associated Protein Biomarkers From Unprocessed Plasma Using an AC Electrokinetics-Based Platform</t>
  </si>
  <si>
    <t>FRONTIERS IN BIOENGINEERING AND BIOTECHNOLOGY</t>
  </si>
  <si>
    <t>biomarkers; cell-free DNA; extracellular vesicles; plasma; personalized medicine; multi-omics; liquid biopsy; AC electrokinetics</t>
  </si>
  <si>
    <t>CELL-FREE DNA; CANCER-PATIENTS; EXTRACELLULAR VESICLES; BREAST-CANCER; LIQUID BIOPSY; LUNG-CANCER; TUMOR DNA; INTEGRITY; EXOSOMES; MARKER</t>
  </si>
  <si>
    <t>The power of personalized medicine is based on a deep understanding of cellular and molecular processes underlying disease pathogenesis. Accurately characterizing and analyzing connections between these processes is dependent on our ability to access multiple classes of biomarkers (DNA, RNA, and proteins)-ideally, in a minimally processed state. Here, we characterize a biomarker isolation platform that enables simultaneous isolation and on-chip detection of cell-free DNA (cfDNA), extracellular vesicle RNA (EV-RNA), and EV-associated proteins in unprocessed biological fluids using AC Electrokinetics (ACE). Human biofluid samples were flowed over the ACE microelectrode array (ACE chip) on the Verita platform while an electrical signal was applied, inducing a field that reversibly captured biomarkers onto the microelectrode array. Isolated cfDNA, EV-RNA, and EV-associated proteins were visualized directly on the chip using DNA and RNA specific dyes or antigen-specific, directly conjugated antibodies (CD63, TSG101, PD-L1, GPC-1), respectively. Isolated material was also eluted off the chip and analyzed downstream by multiple methods, including PCR, RT-PCR, next-generation sequencing (NGS), capillary electrophoresis, and nanoparticle size characterization. The detection workflow confirmed the capture of cfDNA, EV-RNA, and EV-associated proteins from human biofluids on the ACE chip. Tumor specific variants and the mRNAs of housekeeping gene PGK1 were detected in cfDNA and RNA isolated directly from chips in PCR, NGS, and RT-PCR assays, demonstrating that high-quality material can be isolated from donor samples using the isolation workflow. Detection of the luminal membrane protein TSG101 with antibodies depended on membrane permeabilization, consistent with the presence of vesicles on the chip. Protein, morphological, and size characterization revealed that these vesicles had the characteristics of EVs. The results demonstrated that unprocessed cfDNA, EV-RNA, and EV-associated proteins can be isolated and simultaneously fluorescently analyzed on the ACE chip. The compatibility with established downstream technologies may also allow the use of the platform as a sample preparation method for workflows that could benefit from access to unprocessed exosomal, genomic, and proteomic biomarkers.</t>
  </si>
  <si>
    <t>[Hinestrosa, Juan Pablo; Searson, David J.; Lewis, Jean M.; Kinana, Alfred; Perrera, Orlando; Dobrovolskaia, Irina; Turner, Robert; Balcer, Heath, I; Clark, Iryna; Krishnan, Rajaram] Biol Dynam Inc, San Diego, CA 92121 USA; [Tran, Kevin; Hoon, Dave S. B.] John Wayne Canc Inst, Dept Translat Mol Med, Santa Monica, CA USA; [Tran, Kevin; Hoon, Dave S. B.] John Wayne Canc Inst, Sequence Ctr, Santa Monica, CA USA; [Bodkin, David] Canc Ctr Oncol Med Grp, La Mesa, CA USA</t>
  </si>
  <si>
    <t>John Wayne Cancer Institute; John Wayne Cancer Institute</t>
  </si>
  <si>
    <t>Hinestrosa, JP; Krishnan, R (corresponding author), Biol Dynam Inc, San Diego, CA 92121 USA.</t>
  </si>
  <si>
    <t>jp@biologicaldynamics.com; raj@biologicaldynamics.com</t>
  </si>
  <si>
    <t>Lewis, Jean/0000-0001-6978-5166</t>
  </si>
  <si>
    <t>2296-4185</t>
  </si>
  <si>
    <t>NOV 5</t>
  </si>
  <si>
    <t>10.3389/fbioe.2020.581157</t>
  </si>
  <si>
    <t>Biotechnology &amp; Applied Microbiology; Multidisciplinary Sciences</t>
  </si>
  <si>
    <t>WOS:000591595400001</t>
  </si>
  <si>
    <t>Nicholson, C; Ishii, M; Annamalai, B; Chandler, K; Chwa, M; Kenney, MC; Shah, N; Rohrer, B</t>
  </si>
  <si>
    <t>Nicholson, Crystal; Ishii, Masaaki; Annamalai, Balasubramaniam; Chandler, Kyrie; Chwa, Marilyn; Kenney, M. Cristina; Shah, Navjot; Rohrer, Barbel</t>
  </si>
  <si>
    <t>J or H mtDNA haplogroups in retinal pigment epithelial cells: Effects on cell physiology, cargo in extracellular vesicles, and differential uptake of such vesicles by naive recipient cells</t>
  </si>
  <si>
    <t>Retinal pigment epithelium; Extracellular vesicles; mtDNA cybrids; OXPHOS; Ligands; Age-related macular degeneration</t>
  </si>
  <si>
    <t>Purpose: Extracellular vesicles (EVs) are predicted to represent the internal state of cells. In polarized RPE monolayers, EVs can mediate long-distance communication, requiring endocytosis via protein-protein interactions. EV uptake from oxidatively stressed donor cells triggers loss in transepithelial resistance (TER) in recipient monolayers mediated by HDAC6. Here, we examine EVs released from RPE cells with identical nuclear genes but different mitochondrial (mt)DNA haplogroups (H, J). J-cybrids produce less ATP, and the J-haplogroup is associated with a higher risk for age-related macular degeneration. Methods: Cells were grown as mature monolayers to either collect EVs from apical surfaces or to serve as naive recipient cells. Transfer assays, transferring EVs to a recipient monolayer were performed, monitoring TER and EV-uptake. The presence of known EV surface proteins was quantified by protein chemistry. Results: H- and J-cybrids were confirmed to exhibit different levels of TER and energy metabolism. EVs from J-cybrids reduced TER in recipient ARPE-19 cells, whereas EVs from H-cybrids were ineffective. TER reduction was mediated by HDAC6 activity, and EV uptake required interaction between integrin and its ligands and surface proteoglycans. Protein quantifications confirmed elevated levels of fibronectin and annexin A2 on J-cybrid EVs. Conclusions: We speculate that RPE EVs have a finite set of ligands (membrane proteoglycans and integrins and/or annexin A2) that are elevated in EVs from stressed cells; and that if EVs released by the RPE could be captured from serum, that they might provide a disease biomarker of RPE-dependent diseases.</t>
  </si>
  <si>
    <t>[Nicholson, Crystal; Ishii, Masaaki; Annamalai, Balasubramaniam; Chandler, Kyrie; Shah, Navjot; Rohrer, Barbel] Med Univ South Carolina, Dept Ophthalmol, 167 Ashley Ave, Charleston, SC 29425 USA; [Chwa, Marilyn; Kenney, M. Cristina] Univ Calif Irvine, Gavin Herbert Eye Inst, Dept Ophthalmol, Irvine, CA 92697 USA; [Rohrer, Barbel] Univ South Carolina, Dept Neurosci Med, Charleston, SC 29425 USA; [Rohrer, Barbel] Ralph H Johnson VA Med Ctr, Charleston, SC 29401 USA</t>
  </si>
  <si>
    <t>Medical University of South Carolina; University of California System; University of California Irvine; US Department of Veterans Affairs; Veterans Health Administration (VHA); Ralph H Johnson VA Medical Center</t>
  </si>
  <si>
    <t>Rohrer, B (corresponding author), Med Univ South Carolina, Dept Ophthalmol, 167 Ashley Ave, Charleston, SC 29425 USA.</t>
  </si>
  <si>
    <t>rohrer@musc.edu</t>
  </si>
  <si>
    <t>Ishii, Masaaki/0000-0002-0775-5401</t>
  </si>
  <si>
    <t>10.1016/j.bbagen.2020.129798</t>
  </si>
  <si>
    <t>FEB 2021</t>
  </si>
  <si>
    <t>WOS:000637333900013</t>
  </si>
  <si>
    <t>Kakizaki, M; Yamamoto, Y; Yabutaid, S; Kurosaki, N; Kagawa, T; Kotani, A</t>
  </si>
  <si>
    <t>Kakizaki, Masatoshi; Yamamoto, Yuichiro; Yabutaid, Suemi; Kurosaki, Natsumi; Kagawa, Tatehiro; Kotani, Ai</t>
  </si>
  <si>
    <t>The immunological function of extracellular vesicles in hepatitis B virus-infected hepatocytes</t>
  </si>
  <si>
    <t>CLINICAL-SIGNIFICANCE; RNA; CELLS; SERUM; DNA; HBV; EXPRESSION; MONOCYTES; ANTIGEN; MARKER</t>
  </si>
  <si>
    <t>Hepatitis B virus (HBV) generates large amounts of complete and incomplete viral particles. Except for the virion, which acts as infectious particles, the function of those particles remains elusive. Extracellular vesicles (EVs) have been revealed to have biological functions. The EVs which size are less than 100 nm in diameter, were collected from HBV infected-patients. These vesicles contain, complete and incomplete virions, and exosomes, which have been recently shown to be critical as intercellular communicators. Here, the effects of the exosome, the complete, and the incomplete particles on the target cells were investigated. These particles are endocytosed by monocyte/macrophages and function primarily to upregulate PD-L1. The functions and composition of the EVs were affected by nucleotide reverse transcriptase inhibitors (NRTIs), suggesting that the EVs are involved in the pathogenesis of HBV hepatitis and clinical course of those patients treated by NRTIs.</t>
  </si>
  <si>
    <t>[Kakizaki, Masatoshi; Yamamoto, Yuichiro; Yabutaid, Suemi; Kotani, Ai] Tokai Univ, Inst Med Sci, Div Hematol Malignancy, Isehara, Kanagawa, Japan; [Kakizaki, Masatoshi; Kagawa, Tatehiro] Tokai Univ, Div Gastroenterol &amp; Hepatol, Dept Internal Med, Sch Med, Isehara, Kanagawa, Japan; [Yabutaid, Suemi; Kurosaki, Natsumi; Kotani, Ai] Tokai Univ, Dept Hematol &amp; Oncol, Sch Med, Isehara, Kanagawa, Japan</t>
  </si>
  <si>
    <t>Tokai University; Tokai University; Tokai University</t>
  </si>
  <si>
    <t>Kotani, A (corresponding author), Tokai Univ, Inst Med Sci, Div Hematol Malignancy, Isehara, Kanagawa, Japan.;Kotani, A (corresponding author), Tokai Univ, Dept Hematol &amp; Oncol, Sch Med, Isehara, Kanagawa, Japan.</t>
  </si>
  <si>
    <t>aikotani@k-lab.jp</t>
  </si>
  <si>
    <t>Kagawa, Tatehiro/AAF-7300-2020</t>
  </si>
  <si>
    <t>Kagawa, Tatehiro/0000-0002-3442-1423; Kakizaki, Masatoshi/0000-0002-9388-8402</t>
  </si>
  <si>
    <t>e0205886</t>
  </si>
  <si>
    <t>10.1371/journal.pone.0205886</t>
  </si>
  <si>
    <t>WOS:000454627200006</t>
  </si>
  <si>
    <t>Zou, LY; Liu, XF; Zhou, Y; Mei, WJ; Wang, Q; Yang, XH; Wang, KM</t>
  </si>
  <si>
    <t>Zou, Liyuan; Liu, Xiaofeng; Zhou, Yuan; Mei, Wenjing; Wang, Qing; Yang, Xiaohai; Wang, Kemin</t>
  </si>
  <si>
    <t>Optical fiber amplifier and thermometer assisted point-of-care biosensor for detection of cancerous exosomes</t>
  </si>
  <si>
    <t>Exosomes; Point-of-care testing; Biosensor; Colorimetric; Photothermal</t>
  </si>
  <si>
    <t>EXTRACELLULAR VESICLES; PROTEINS; MARKERS</t>
  </si>
  <si>
    <t>Developing a simple, reliable and sensitive point-of-care testing (POCT) biosensor for cancerous exosomes detection is crucial to early cancer diagnosis and prognosis. Herein, a colorimetric and photothermal POCT biosensor was demonstrated based on rolling circle amplification (RCA) mediated 2,2' -azinobis-(3-ethyl-benzthiazoline-6-sulphonate) (ABTS)-H2O2 system for sensitive detection of cancerous exosomes. In the presence of target exosomes, RCA could be triggered and produced multiple units that hybridized to horseradish peroxidase (HRP) modified DNA probes. Colorless ABTS would be converted by HRP into the oxidized form with strong near-infrared absorbance, enabling colorimetric and photothermal detection of exosomes. Then, colorimetric and photothermal responses were recorded by optical fiber amplifier and forehead thermometer, respectively, enabling hand-held detection. Moreover, EpCAM aptamer was used as biorecognition element for exosomes secreted by MCF-7 breast cancer cells so that the point-of-care biosensor exhibited excellent specificity. Furthermore, the point-of-care biosensor could effectively detect the cancerous exosomes in 30% fetal bovine serum with lots of normal exosomes. Moreover, the biosensor could avoid the influence of the external environment, including surrounding light and temperature. These results suggest that the proposed strategy has great potential as a powerful tool for POCT application of exosomes in future diagnosis.</t>
  </si>
  <si>
    <t>[Zou, Liyuan; Liu, Xiaofeng; Zhou, Yuan; Mei, Wenjing; Wang, Qing; Yang, Xiaohai; Wang, Kemin] Hunan Univ, Coll Chem &amp; Chem Engn, State Key Lab Chemo Biosensing &amp; Chemometr, Key Lab Bionanotechnol &amp; Mol Engn Hunan Prov, Changsha 410082, Peoples R China</t>
  </si>
  <si>
    <t>Hunan University</t>
  </si>
  <si>
    <t>Wang, Q; Yang, XH (corresponding author), Hunan Univ, Coll Chem &amp; Chem Engn, State Key Lab Chemo Biosensing &amp; Chemometr, Key Lab Bionanotechnol &amp; Mol Engn Hunan Prov, Changsha 410082, Peoples R China.</t>
  </si>
  <si>
    <t>wwqq99@hnu.edu.cn; yangxiaohai@hnu.edu.cn</t>
  </si>
  <si>
    <t>JAN 15</t>
  </si>
  <si>
    <t>10.1016/j.snb.2021.130893</t>
  </si>
  <si>
    <t>WOS:000823049300003</t>
  </si>
  <si>
    <t>De Carolis, S; Pellegrini, A; Santini, D; Ceccarelli, C; De Leo, A; Alessandrini, F; Arienti, C; Pignatta, S; Tesei, A; Mantovani, V; Zamagni, C; Taffurelli, M; Sansone, P; Bonafe, M; Cricca, M</t>
  </si>
  <si>
    <t>De Carolis, Sabrina; Pellegrini, Alice; Santini, Donatella; Ceccarelli, Claudio; De Leo, Antonio; Alessandrini, Federica; Arienti, Chiara; Pignatta, Sara; Tesei, Anna; Mantovani, Vilma; Zamagni, Claudio; Taffurelli, Mario; Sansone, Pasquale; Bonafe, Massimiliano; Cricca, Monica</t>
  </si>
  <si>
    <t>Liquid biopsy in the diagnosis of HPV DNA in breast lesions</t>
  </si>
  <si>
    <t>FUTURE MICROBIOLOGY</t>
  </si>
  <si>
    <t>breast; HPV DNA; liquid biopsy</t>
  </si>
  <si>
    <t>HUMAN-PAPILLOMAVIRUS; EXOSOMES; ASSOCIATION</t>
  </si>
  <si>
    <t>Aim: HPV DNA has never been investigated in nipple discharges (ND) and serum-derived extracellular vesicles, although its presence has been reported in ductal lavage fluids and blood specimens. Materials &amp; methods: We analyzed 50 ND, 22 serum-derived extracellular vesicles as well as 51 pathologic breast tissues for the presence of 16 HPV DNA types. Results: We show that the presence of HPV DNA in the ND is predictive of HPV DNA-positive breast lesions and that HPV DNA is more represented in intraductal papillomas. We also show the presence of HPV DNA in the serum-derived extracellular vesicles. Conclusion: Our data supports the use of liquid biopsy to detect HPV DNA in breast pathology.</t>
  </si>
  <si>
    <t>[De Carolis, Sabrina; Ceccarelli, Claudio; De Leo, Antonio; Alessandrini, Federica; Bonafe, Massimiliano; Cricca, Monica] Univ Bologna, Dept Expt Diagnost &amp; Specialty Med, Alma Mater Studiorum, I-40138 Bologna, Italy; [Mantovani, Vilma; Bonafe, Massimiliano] St Orsola Marcello Malpighi Hosp, Ctr Appl Biomed Res CRBA, I-40138 Bologna, Italy; [Pellegrini, Alice; Taffurelli, Mario] St Orsola Marcello Malpighi Hosp, Dept Women Children &amp; Urol Dis, I-40138 Bologna, Italy; [Santini, Donatella] St Orsola Marcello Malpighi Hosp, Operat Unit Pathol, I-40138 Bologna, Italy; [Arienti, Chiara; Pignatta, Sara; Tesei, Anna] IRCCS, Ist Sci Romagnolo Studio &amp; Cura Tumori IRST, Biosci Lab, Drug Discovery Unit &amp; Radiobiol, I-47014 Meldola, Italy; [Zamagni, Claudio] St Orsola Marcello Malpighi Hosp, Med Oncol Unit, I-40126 Bologna, Italy; [Taffurelli, Mario] Univ Bologna, Dept Med &amp; Surg Sci, Alma Mater Studiorum, I-40138 Bologna, Italy; [Sansone, Pasquale] Mem Sloan Kettering Canc Ctr, Dept Med, 1275 York Ave, New York, NY 10021 USA; [Sansone, Pasquale] Weill Cornell Med Coll, Childrens Canc &amp; Blood Fdn Labs, Dept Pediat Cell &amp; Dev Biol, New York, NY 10021 USA</t>
  </si>
  <si>
    <t>University of Bologna; IRCCS Azienda Ospedaliero-Universitaria di Bologna; IRCCS Azienda Ospedaliero-Universitaria di Bologna; IRCCS Azienda Ospedaliero-Universitaria di Bologna; IRCCS Meldola (IRST); IRCCS Azienda Ospedaliero-Universitaria di Bologna; University of Bologna; Memorial Sloan Kettering Cancer Center; Cornell University</t>
  </si>
  <si>
    <t>Cricca, M (corresponding author), Univ Bologna, Dept Expt Diagnost &amp; Specialty Med, Alma Mater Studiorum, I-40138 Bologna, Italy.</t>
  </si>
  <si>
    <t>monica.cricca3@unibo.it</t>
  </si>
  <si>
    <t>De Leo, Antonio/V-1441-2019; Pignatta, Sara/X-1508-2018; arienti, chiara/AAA-9493-2021; Santini, Donatella/AAO-1490-2021; ceccarelli, claudio/AAS-6105-2020; Tesei, Anna/C-7748-2016</t>
  </si>
  <si>
    <t>De Leo, Antonio/0000-0002-3761-5135; Pignatta, Sara/0000-0001-5464-0052; arienti, chiara/0000-0002-2265-828X; ceccarelli, claudio/0000-0003-0743-2087; Tesei, Anna/0000-0002-8351-5952; santini, donatella/0000-0002-1692-6348</t>
  </si>
  <si>
    <t>1746-0913</t>
  </si>
  <si>
    <t>1746-0921</t>
  </si>
  <si>
    <t>10.2217/fmb-2017-0145</t>
  </si>
  <si>
    <t>WOS:000427273500005</t>
  </si>
  <si>
    <t>Ding, XB; Ma, MM; Teng, JF; Teng, RKF; Zhou, S; Yin, JZ; Fonkem, E; Huang, JH; Wu, EX; Wang, XJ</t>
  </si>
  <si>
    <t>Ding, Xuebing; Ma, Mingming; Teng, Junfang; Teng, Robert K. F.; Zhou, Shuang; Yin, Jingzheng; Fonkem, Ekokobe; Huang, Jason H.; Wu, Erxi; Wang, Xuejing</t>
  </si>
  <si>
    <t>Exposure to ALS-FTD-CSF generates TDP-43 aggregates in glioblastoma cells through exosomes and TNTs-like structure</t>
  </si>
  <si>
    <t>TDP-43; ALS; FTD; exosomes; tunneling nanotubes</t>
  </si>
  <si>
    <t>AMYOTROPHIC-LATERAL-SCLEROSIS; FRONTOTEMPORAL LOBAR DEGENERATION; DNA-BINDING PROTEIN-43; TUNNELING NANOTUBES; CEREBROSPINAL-FLUID; SPATIAL-PATTERNS; MOLECULAR-BASIS; MOTOR-NEURONS; SPINAL-CORD; ASTROCYTES</t>
  </si>
  <si>
    <t>Amyotrophic lateral sclerosis (ALS) and frontotemporal dementia (FTD) represent a continuum of devastating neurodegenerative diseases, characterized by transactive response DNA-binding protein of 43 kDa (TDP-43) aggregates accumulation throughout the nervous system. Despite rapidly emerging evidence suggesting the hypothesis of 'prion-like propagation' of TDP-43 positive inclusion in the regional spread of ALS symptoms, whether and how TDP-43 aggregates spread between cells is not clear. Herein, we established a cerebrospinal fluid (CSF)-cultured cell model to dissect mechanisms governing TDP-43 aggregates formation and propagation. Remarkably, intracellular TDP-43 mislocalization and aggregates were induced in the human glioma U251 cells following exposure to ALS-FTD-CSF but not ALS-CSF and normal control (NC) -CSF for 21 days. The exosomes derived from ALS-FTD-CSF were enriched in TDP-43 C-terminal fragments (CTFs). Incubation of ALS-FTD-CSF induced the increase of mislocated TDP-43 positive exosomes in U251 cells. We further demonstrated that exposure to ALS-FTD-CSF induced the generations of tunneling nanotubes (TNTs)-like structure and exosomes at different stages, which mediated the propagation of TDP-43 aggregates in the cultured U251 cells. Moreover, immunoblotting analyses revealed that abnormal activations of apoptosis and autophagy were induced in U251 cells, following incubation of ALS-CSF and ALS-FTD-CSF. Taken together, our data provide direct evidence that ALS-FTD-CSF has prion-like transmissible properties. TNTs-like structure and exosomes supply the routes for the transfer of TDP-43 aggregates, and selective inhibition of their over-generations may interrupt the progression of TDP-43 proteinopathy.</t>
  </si>
  <si>
    <t>[Ding, Xuebing; Teng, Junfang; Yin, Jingzheng; Wang, Xuejing] Zhengzhou Univ, Affiliated Hosp 1, Dept Neurol, Zhengzhou 450052, Henan, Peoples R China; [Ma, Mingming] Zhengzhou Univ, Peoples Hosp, Dept Neurol, Zhengzhou 450052, Henan, Peoples R China; [Ma, Mingming; Zhou, Shuang; Wu, Erxi] N Dakota State Univ, Dept Pharmaceut Sci, Fargo, ND 58105 USA; [Teng, Robert K. F.] Calif State Univ Los Angeles, Coll Engn, Los Angeles, CA 90032 USA; [Fonkem, Ekokobe; Huang, Jason H.] Texas A&amp;M Hlth Sci Ctr, Coll Med, Scott &amp; White Neurosci Inst, Temple, TX USA</t>
  </si>
  <si>
    <t>Zhengzhou University; Zhengzhou University; North Dakota State University Fargo; California State University System; California State University Los Angeles; Texas A&amp;M University System; Texas A&amp;M University College Station; Texas A&amp;M Health Science Center</t>
  </si>
  <si>
    <t>Wang, XJ (corresponding author), Zhengzhou Univ, Affiliated Hosp 1, Dept Neurol, Zhengzhou 450052, Henan, Peoples R China.</t>
  </si>
  <si>
    <t>Erxi.wu@ndsu.edu; ballet8114@gmail.com</t>
  </si>
  <si>
    <t>Huang, Jason H/J-4739-2019</t>
  </si>
  <si>
    <t>Huang, Jason H/0000-0002-4426-0168; Zhou, Shuang/0000-0002-2403-7161; Wu, Erxi/0000-0002-1680-3639</t>
  </si>
  <si>
    <t>SEP 15</t>
  </si>
  <si>
    <t>10.18632/oncotarget.4680</t>
  </si>
  <si>
    <t>WOS:000363157700081</t>
  </si>
  <si>
    <t>Baris, IC; Hacioglu, S; Turk, NS; Cetin, GO; Zencir, S; Bagci, G; Caner, V</t>
  </si>
  <si>
    <t>Baris, I. C.; Hacioglu, S.; Turk, N. S.; Cetin, G. O.; Zencir, S.; Bagci, G.; Caner, V.</t>
  </si>
  <si>
    <t>Expression and DNA methylation profiles of EZH2-target genes in plasma exosomes and matched primary tumor tissues of the patients with diffuse large B-cell lymphoma</t>
  </si>
  <si>
    <t>CLINICAL &amp; TRANSLATIONAL ONCOLOGY</t>
  </si>
  <si>
    <t>Diffuse large B-cell lymphoma; Epigenetics; EZH2-target genes; Exosome</t>
  </si>
  <si>
    <t>EXTRACELLULAR VESICLES; CPG ISLANDS; EZH2; HYPERMETHYLATION; MICROVESICLES; PROLIFERATION; PATHOGENESIS; MUTATIONS; SECRETION; GCB</t>
  </si>
  <si>
    <t>Aims Diffuse large B-cell lymphoma (DLBCL) is the most common type of aggressive lymphoma. This study was designed to compare epigenetic alterations observed in Enhancer of Zeste Homolog 2 (EZH2)-target genes between plasma-derived exosomes and primary tumors in DLBCL patients. Main methods Exosomes were isolated from plasma of 21 DLBCL patients and 21 controls. We analyzed the methylation status of the target genes using methylation-specific PCR. We also examined whether the exosomes and the tumor samples contained transcripts of the target genes. Key findings We found that CDKN2A and CDKN2B were methylated in both plasma exosomes and primary tumor tissue samples. None of the transcripts were found in the exosomes except CDKN1B which was expressed in 8 (38%) of the exosome samples. Significance This study showed that plasma exosomes might preferably package certain target molecules from primary tumors and the exosomes containing dual methylated DNAs of CDKN2A and CDKN2B, or CDKN1B transcript may contribute to DLBCL pathogenesis.</t>
  </si>
  <si>
    <t>[Baris, I. C.; Zencir, S.] Pamukkale Univ, Sch Med, Dept Med Biol, Denizli, Turkey; [Hacioglu, S.] Pamukkale Univ, Sch Med, Dept Hematol, Denizli, Turkey; [Turk, N. S.] Pamukkale Univ, Sch Med, Dept Med Pathol, Denizli, Turkey; [Cetin, G. O.; Bagci, G.; Caner, V.] Pamukkale Univ, Sch Med, Dept Med Genet, Denizli, Turkey; [Zencir, S.] Univ Geneva, Dept Mol Biol, CH-1211 Geneva 4, Switzerland</t>
  </si>
  <si>
    <t>Pamukkale University; Pamukkale University; Pamukkale University; Pamukkale University; University of Geneva</t>
  </si>
  <si>
    <t>Caner, V (corresponding author), Pamukkale Univ, Sch Med, Dept Med Genet, Denizli, Turkey.</t>
  </si>
  <si>
    <t>vcaner@pau.edu.tr</t>
  </si>
  <si>
    <t>Caner, Vildan/ABI-5029-2020</t>
  </si>
  <si>
    <t>Caner, Vildan/0000-0003-0980-9335</t>
  </si>
  <si>
    <t>1699-048X</t>
  </si>
  <si>
    <t>1699-3055</t>
  </si>
  <si>
    <t>10.1007/s12094-020-02504-6</t>
  </si>
  <si>
    <t>WOS:000591970200001</t>
  </si>
  <si>
    <t>Kontopoulou, E; Strachan, S; Reinhardt, K; Kunz, F; Walter, C; Walkenfort, B; Jastrow, H; Hasenberg, M; Giebel, B; von Neuhoff, N; Reinhardt, D; Thakur, BK</t>
  </si>
  <si>
    <t>Kontopoulou, Evangelia; Strachan, Sarah; Reinhardt, Katarina; Kunz, Fabienne; Walter, Christiane; Walkenfort, Bernd; Jastrow, Holger; Hasenberg, Mike; Giebel, Bernd; von Neuhoff, Nils; Reinhardt, Dirk; Thakur, Basant Kumar</t>
  </si>
  <si>
    <t>Evaluation of dsDNA from extracellular vesicles (EVs) in pediatric AML diagnostics</t>
  </si>
  <si>
    <t>ANNALS OF HEMATOLOGY</t>
  </si>
  <si>
    <t>Acute myeloid leukemia; EVs; dsDNA; Mutational detection; Pediatrics</t>
  </si>
  <si>
    <t>ACUTE MYELOID-LEUKEMIA; MINIMAL RESIDUAL DISEASE; DOUBLE-STRANDED DNA; HORIZONTAL TRANSFER; EXOSOMES; BIOMARKER; NICHE; KRAS</t>
  </si>
  <si>
    <t>Acute myeloid leukemia (AML) is a heterogeneous malignant disease characterized by a collection of genetic and epigenetic changes. As a consequence, AML can evolve towards more aggressive subtypes during treatment, which require additional therapies to prevent future relapse. As we have previously detected double-stranded DNA (dsDNA) in tumor-derived extracellular vesicles (EVs), in this current study we attempted to evaluate the potential diagnostic applications of AML EV-dsDNA derived from primary bone marrow and peripheral blood plasma samples. EVs from plasma of 29 pediatric AML patients (at initial diagnosis or during treatment) were isolated by ultracentrifugation, after which dsDNA was extracted from obtained EVs and analyzed for leukemia-specific mutations using next generation sequencing (NGS) and GeneScan-based fragment-length analysis. In 18 out of 20 patients, dsDNA harvested from EVs mirrored the (leukemia-specific) mutations found in the genomic DNA obtained from primary leukemia cells. In the nanoparticle tracking analysis (NTA), a decrease in EV numbers was observed in patients after treatment compared with initial diagnosis. Following treatment, in 75 samples out of the 79, these mutations were no longer detectable in EV-dsDNA. In light of our results, we propose the use of leukemia-derived EV-dsDNA as an additional measure for mutational status and, potentially, treatment response in pediatric AML.</t>
  </si>
  <si>
    <t>[Kontopoulou, Evangelia; Strachan, Sarah; Reinhardt, Katarina; Kunz, Fabienne; Walter, Christiane; von Neuhoff, Nils; Reinhardt, Dirk; Thakur, Basant Kumar] Univ Childrens Hosp, Univ Hosp Essen, Dept Pediat Hematol &amp; Oncol, Hufelandstr 55, D-45147 Essen, Germany; [Walkenfort, Bernd; Hasenberg, Mike] Univ Hosp Essen, Imaging Ctr Essen, Electron Microscopy Unit, Essen, Germany; [Jastrow, Holger] Univ Hosp Essen, Inst Anat, Essen, Germany; [Giebel, Bernd] Univ Hosp Essen, Inst Transfus Med, Essen, Germany</t>
  </si>
  <si>
    <t>University of Duisburg Essen; University of Hamburg; University Medical Center Hamburg-Eppendorf; University of Duisburg Essen; University of Duisburg Essen; University of Duisburg Essen</t>
  </si>
  <si>
    <t>Thakur, BK (corresponding author), Univ Childrens Hosp, Univ Hosp Essen, Dept Pediat Hematol &amp; Oncol, Hufelandstr 55, D-45147 Essen, Germany.</t>
  </si>
  <si>
    <t>basant-kumar.thakur@uk-essen.de</t>
  </si>
  <si>
    <t>Reinhardt, Dirk/N-7003-2016; Giebel, Bernd/AAH-1083-2021</t>
  </si>
  <si>
    <t>Reinhardt, Dirk/0000-0002-7027-4483; Giebel, Bernd/0000-0003-2446-948X; Thakur, Barun Kumar/0000-0002-1713-9186; Walkenfort, Bernd/0000-0002-7789-3340</t>
  </si>
  <si>
    <t>0939-5555</t>
  </si>
  <si>
    <t>1432-0584</t>
  </si>
  <si>
    <t>10.1007/s00277-019-03866-w</t>
  </si>
  <si>
    <t>WOS:000518506700007</t>
  </si>
  <si>
    <t>Holvoet, P; Vanhaverbeke, M; Bloch, K; Baatsen, P; Sinnaeve, P; Janssens, S</t>
  </si>
  <si>
    <t>Holvoet, Paul; Vanhaverbeke, Maarten; Bloch, Katarzyna; Baatsen, Pieter; Sinnaeve, Peter; Janssens, Stefan</t>
  </si>
  <si>
    <t>Low MT-CO1 ilen Monocytes and Microvesicles Is Associated With Outcome in Patients With Coronary Artery Disease</t>
  </si>
  <si>
    <t>JOURNAL OF THE AMERICAN HEART ASSOCIATION</t>
  </si>
  <si>
    <t>blood cell; cardiovascular events; gene; ischemia; microvesicles</t>
  </si>
  <si>
    <t>CYTOCHROME-C-OXIDASE; MYOCARDIAL-INFARCTION; MITOCHONDRIAL-DNA; OXIDATIVE STRESS; CELLS; ATHEROSCLEROSIS; RESPIRATION; EXOSOMES; MICE</t>
  </si>
  <si>
    <t>Background--Cytochrome oxidase (COX) IV complex regulates energy production in mitochondria. Impaired COX gene expression is related to obesity and type 2 diabetes mellitus, but whether it is directly related to the incidence of cardiovascular events is unknown. We investigated whether COX gene expression in monocytes is predictive for cardiovascular events in coronary artery disease patients. To avoid monocyte isolation from fresh blood, we then aimed to validate our findings in monocyte-derived microvesicles isolated from plasma. Methods and Results--We enrolled 142 consecutive patients undergoing diagnostic coronary angiography between June 2010 and January 2011 and followed 67 patients with stable coronary artery disease prospectively for at least 3 years. Twenty-two patients experienced a new cardiovascular event (32.8%). Circulating CD14(+) monocytes and microvesicles were isolated with magnetic beads, and COX mRNA levels were measured with quantitative polymerase chain reaction, after normalization with 5 validated house-keeping genes. Patients in the lowest tertile of mitochondrial cytochrome oxidase, subunit I (MT-COI) in monocytes at baseline had a higher risk for developing a new event after adjusting for age, sex, (ex) smoking, body mass index, blood pressure, diabetes mellitus, low-density lipoprotein-and high-density lipoprotein-cholesterol, triglycerides, high-sensitivity C-reactive protein, interleukin-6, and number of diseased vessels (harzard ratio [HR], 3.95; 95% CI, 1.63-9.57). Patients in the lowest tertile of MT-COI in monocyte-specific microvesicles had also a higher risk of developing a new event (adjusted HR, 5.00; 95% CI, 1.77-14). Conclusions--In the current blinded study, low MT-COI in monocytes of coronary artery disease patients identifies a population at risk for new cardiovascular events. For the first time, we show that signatures in monocyte-specific microvesicles in plasma have similar predictive properties.</t>
  </si>
  <si>
    <t>[Holvoet, Paul] Katholieke Univ Leuven, Atherosclerosis &amp; Metab Unit, Dept Cardiovasc Sci, Herestraat 49,O&amp;N1,POB 705, B-3000 Leuven, Belgium; [Bloch, Katarzyna] Katholieke Univ Leuven, Dept Oncol, Leuven, Belgium; [Baatsen, Pieter] Katholieke Univ Leuven, Dept VIB BIO Imaging Core, Leuven, Belgium; [Vanhaverbeke, Maarten; Sinnaeve, Peter; Janssens, Stefan] UZ Leuven, Dept Clin Cardiol, Leuven, Belgium</t>
  </si>
  <si>
    <t>KU Leuven; KU Leuven; Flanders Institute for Biotechnology (VIB); KU Leuven; KU Leuven; University Hospital Leuven</t>
  </si>
  <si>
    <t>Holvoet, P (corresponding author), Katholieke Univ Leuven, Atherosclerosis &amp; Metab Unit, Dept Cardiovasc Sci, Herestraat 49,O&amp;N1,POB 705, B-3000 Leuven, Belgium.</t>
  </si>
  <si>
    <t>paul.holvoet@med.kuleuven.be</t>
  </si>
  <si>
    <t>Vanhaverbeke, Maarten/ADP-6196-2022; HOLVOET, PAUL/T-8434-2017</t>
  </si>
  <si>
    <t>Vanhaverbeke, Maarten/0000-0002-4385-7069; HOLVOET, PAUL/0000-0001-9201-0772; Sinnaeve, Peter/0000-0003-4716-5892</t>
  </si>
  <si>
    <t>2047-9980</t>
  </si>
  <si>
    <t>e004207</t>
  </si>
  <si>
    <t>10.1161/JAHA.116.004207</t>
  </si>
  <si>
    <t>WOS:000390787700022</t>
  </si>
  <si>
    <t>Wang, Q; Zou, LY; Yang, XH; Liu, XF; Nie, WY; Zheng, Y; Cheng, Q; Wang, KM</t>
  </si>
  <si>
    <t>Wang, Qing; Zou, Liyuan; Yang, Xiaohai; Liu, Xiaofeng; Nie, Wenyan; Zheng, Yan; Cheng, Quan; Wang, Kemin</t>
  </si>
  <si>
    <t>Direct quantification of cancerous exosomes via surface plasmon resonance with dual gold nanoparticle-assisted signal amplification</t>
  </si>
  <si>
    <t>Exosomes; Surface plasmon resonance; Aptasensor; AuNP</t>
  </si>
  <si>
    <t>ELECTROCHEMICAL DETECTION; EXTRACELLULAR VESICLES; CELL; DNA; APTASENSOR; MICROVESICLES; SPECTROSCOPY; BIOMARKERS; BIOSENSOR; PROTEINS</t>
  </si>
  <si>
    <t>Sensitive detection of cancerous exosomes is critical to early diseases diagnosis and prognosis. Herein, a sensitive aptasensor was demonstrated for exosomes detection by surface plasmon resonance (SPR) with dual gold nanoparticle (AuNP)-assisted signal amplification. Dual nanoparticle amplification was achieved by controlled hybridization attachment of AuNPs resulting from electronic coupling between the Au film and AuNPs, as well as coupling effects in plasmonic nanostructures. By blocking the Au film surface with 11-Mercapto-1-undecanol (MCU), nonspecific adsorption of AuNPs onto the SPR chip surface was suppressed and regeneration of the SPR sensor was realized. This method was highly sensitive and we have achieved the limit of detection (LOD) down to 5 x 10(3) exosomes/mL, which showed a 10(4)-fold improvement in LOD compared to commercial ELISA. Moreover, the SPR sensor had the capability to differentiate the exosomes secreted by MCF-7 breast cancer cells and MCF-10A normal breast cells. Furthermore, the SPR sensor could effectively detect the exosomes in 30% fetal bovine serum. The work provides a sensitive and efficient quantification approach to detect cancerous exosomes and offers an avenue toward future diagnosis and comprehensive studies of exosomes.</t>
  </si>
  <si>
    <t>[Wang, Qing; Zou, Liyuan; Yang, Xiaohai; Liu, Xiaofeng; Nie, Wenyan; Zheng, Yan; Wang, Kemin] Hunan Univ, Key Lab Bionanotechnol &amp; Mol Engn Hunan Prov, Coll Chem &amp; Chem Engn, State Key Lab Chemo Biosensing &amp; Chemometr, Changsha 410082, Hunan, Peoples R China; [Cheng, Quan] Univ Calif Riverside, Dept Chem, Riverside, CA 92521 USA</t>
  </si>
  <si>
    <t>Hunan University; University of California System; University of California Riverside</t>
  </si>
  <si>
    <t>Yang, XH; Wang, KM (corresponding author), Hunan Univ, Key Lab Bionanotechnol &amp; Mol Engn Hunan Prov, Coll Chem &amp; Chem Engn, State Key Lab Chemo Biosensing &amp; Chemometr, Changsha 410082, Hunan, Peoples R China.</t>
  </si>
  <si>
    <t>yangxiaohai@hnu.edu.cn; kmwang@hnu.edu.cn</t>
  </si>
  <si>
    <t>Yang, Xiaohai/0000-0001-8122-7140</t>
  </si>
  <si>
    <t>10.1016/j.bios.2019.04.013</t>
  </si>
  <si>
    <t>WOS:000469157800017</t>
  </si>
  <si>
    <t>Taylor, DD; Gercel-Taylor, C</t>
  </si>
  <si>
    <t>Tumour-derived exosomes and their role in cancer-associated T-cell signalling defects</t>
  </si>
  <si>
    <t>BRITISH JOURNAL OF CANCER</t>
  </si>
  <si>
    <t>exosomes; activation signaling; membrane vesicles; T lymphocytes; ovarian cancer</t>
  </si>
  <si>
    <t>IA-ANTIGEN EXPRESSION; MEMBRANE-VESICLES; FAS LIGAND; ALKALINE-PHOSPHATASE; ACCUMULATION; APOPTOSIS; RELEASE; IMMUNOGLOBULINS; ENDOMETRIAL; INHIBITION</t>
  </si>
  <si>
    <t>Dendritic and lymphoid ' exosomes' regulate immune activation. Tumours release membranous material mimicking these ' exosomes,' resulting in deletion of reactive lymphocytes. Tumour- derived ' exosomes' have recently been explored as vaccines, without analysis of their immunologic consequences. This investigation examines the composition of tumour- derived ' exosomes' and their effects on T lymphocytes. Membranous materials were isolated from ascites of ovarian cancer patients ( n = 6) and Western immunoblotting was performed for markers associated with ' exosomes.' Using cultured T cells, ' exosomes' were evaluated for suppression of CD3-zeta and JAK 3 expressions and induction of apoptosis, measured by DNA fragmentation. ' Exosome' components mediating suppression of CD3-zeta were isolated by continuous eluting electrophoresis and examined by Western immunoblotting. ' Exosomes' were shown to be identical with previously characterised shed membrane vesicles by protein staining and TSG101 expression. ' Exosomes' expressed class I MHC, placental alkaline phosphatase, B23/ nucleophosmin, and FasL. ' Exosomes' suppressed expression of T- cell activation signalling components, CD3-zeta and JAK 3 and induced apoptosis. CD3-zeta suppression was mediated by two components: 26 and 42 kDa. Only the 42 kDa component reacted with anti- FasL antibody. These results indicate that, while ' exosomes' express tumour antigens, leading to their proposed utility as tumour vaccines, they also can suppress T- cell signalling molecules and induce apoptosis.</t>
  </si>
  <si>
    <t>Univ Louisville, Sch Med, Div Gynecol Oncol, Dept Obstet Gynecol &amp; Womens Hlth, Louisville, KY 40202 USA; Univ Louisville, Sch Med, Dept Radiat Oncol, Louisville, KY 40202 USA</t>
  </si>
  <si>
    <t>University of Louisville; University of Louisville</t>
  </si>
  <si>
    <t>Taylor, DD (corresponding author), Univ Louisville, Sch Med, Div Gynecol Oncol, Dept Obstet Gynecol &amp; Womens Hlth, 511 S Floyd St,MDR 420, Louisville, KY 40202 USA.</t>
  </si>
  <si>
    <t>ddtaylor@louisville.edu</t>
  </si>
  <si>
    <t>0007-0920</t>
  </si>
  <si>
    <t>1532-1827</t>
  </si>
  <si>
    <t>JAN 31</t>
  </si>
  <si>
    <t>10.1038/sj.bjc.6602316</t>
  </si>
  <si>
    <t>WOS:000226543800019</t>
  </si>
  <si>
    <t>Soltesz, B; Urbancsek, R; Pos, O; Hajas, O; Forgacs, IN; Szilagyi, E; Nagy-Balo, E; Szemes, T; Csanadi, Z; Nagy, B</t>
  </si>
  <si>
    <t>Soltesz, Beata; Urbancsek, Reka; Pos, Ondrej; Hajas, Orsolya; Forgacs, Ildiko Noemi; Szilagyi, Edina; Nagy-Balo, Edina; Szemes, Tomas; Csanadi, Zoltan; Nagy, Balint</t>
  </si>
  <si>
    <t>Quantification of peripheral whole blood, cell-free plasma and exosome encapsulated mitochondrial DNA copy numbers in patients with atrial fibrillation</t>
  </si>
  <si>
    <t>JOURNAL OF BIOTECHNOLOGY</t>
  </si>
  <si>
    <t>Mitochondrial DNA; Peripheral blood; Cell-Free plasma; Exosome; Atrial fibrillation</t>
  </si>
  <si>
    <t>ORAL ANTICOAGULANTS; ASSOCIATION; ACCUMULATION; MUTATIONS; BIOMARKER; DISEASE; AGE</t>
  </si>
  <si>
    <t>Mitochondrial DNA (mtDNA) copy number changes have been associated with various diseases. Several studies showed that mtDNA content in peripheral blood was associated with oxidative stress and cardiovascular disease. Atrial fibrillation (AF) is one of the severe cardiovascular diseases. We aimed to determine the mtDNA copy numbers in peripheral blood, in cell-free plasma and in exosomes of AF patients and healthy controls. Peripheral blood was drawn from 60 AF patients and 72 healthy controls. DNA was isolated from EDTA blood and plasma. Exosomes were isolated from cell-free plasma and then exosome encapsulated DNA (exoDNA) was extracted. Quantitative-real-time PCR was performed with Human Mitochondrial DNA (mtDNA) Monitoring Primer Set. Statistical analysis of the data was performed. We found statistically significant difference in mtDNA copy numbers in DNA isolated from peripheral whole blood, cell-free plasma and exosome samples of controls' (44.4 +/- 18.0, 27.2 +/- 30.1, 11.5 +/- 8.7), and patients' group (43.4 +/- 13.6, 26.2 +/- 26.4, 14.5 +/- 12.3). However there was no significant difference in mtDNA copy number between the two study groups either in peripheral blood, in cell-free plasma and in exosomes, and even in different sexes and ages. We found the highest copy number of mtDNA in peripheral blood, followed by plasma and exosomes. We did not find differences between patients and controls, neither age nor gender had effect on the mtDNA copy number. According to our results the mtDNA copy numbers did not differ in AF patients.</t>
  </si>
  <si>
    <t>[Soltesz, Beata; Szilagyi, Edina; Nagy, Balint] Univ Debrecen, Fac Med, Dept Human Genet, Debrecen, Hungary; [Urbancsek, Reka; Hajas, Orsolya; Forgacs, Ildiko Noemi; Nagy-Balo, Edina; Csanadi, Zoltan] Univ Debrecen, Fac Med, Inst Cardiol, Debrecen, Hungary; [Pos, Ondrej; Szemes, Tomas] Comenius Univ, Fac Nat Sci, Dept Mol Biol, Bratislava, Slovakia</t>
  </si>
  <si>
    <t>University of Debrecen; University of Debrecen; Comenius University Bratislava</t>
  </si>
  <si>
    <t>Soltesz, B (corresponding author), Egyet Ter 1, H-4032 Debrecen, Hungary.</t>
  </si>
  <si>
    <t>soltesz.beata@med.unideb.hu</t>
  </si>
  <si>
    <t>Pös, Ondrej/AAI-6140-2020</t>
  </si>
  <si>
    <t>Pös, Ondrej/0000-0003-2491-2285; Szemes, Tomas/0000-0002-0900-2534; Nagy, Balint/0000-0002-0295-185X</t>
  </si>
  <si>
    <t>0168-1656</t>
  </si>
  <si>
    <t>1873-4863</t>
  </si>
  <si>
    <t>JUN 20</t>
  </si>
  <si>
    <t>10.1016/j.jbiotec.2019.04.018</t>
  </si>
  <si>
    <t>Biotechnology &amp; Applied Microbiology</t>
  </si>
  <si>
    <t>WOS:000468162100010</t>
  </si>
  <si>
    <t>Zoller, M</t>
  </si>
  <si>
    <t>Grutzmann, R; Pilarsky, C</t>
  </si>
  <si>
    <t>Zoeller, Margot</t>
  </si>
  <si>
    <t>Exosomes in Cancer Disease</t>
  </si>
  <si>
    <t>CANCER GENE PROFILING: Methods and Protocols</t>
  </si>
  <si>
    <t>Exosome; Next-generation sequencing; Pancreatic cancer</t>
  </si>
  <si>
    <t>CELL-DERIVED EXOSOMES; REVEAL DIFFERENTIAL EXPRESSION; TO-MESENCHYMAL TRANSITION; EXTRACELLULAR VESICLES; STEM-CELLS; PLASMA-MEMBRANE; DENDRITIC CELLS; TUMOR EXOSOMES; IN-VITRO; INTERCELLULAR COMMUNICATION</t>
  </si>
  <si>
    <t>Cancer diagnosis and therapy is steadily improving. Still, diagnosis is frequently late and diagnosis and follow-up procedures mostly are time-consuming and expensive. Searching for tumor-derived exosomes (TEX) in body fluids may provide an alternative, minimally invasive, yet highly reliable diagnostic tool. Beyond this, there is strong evidence that TEX could become a potent therapeutics. Exosomes, small vesicles delivered by many cells of the organism, are found in all body fluids. Exosomes are characterized by lipid composition, common and donor cell specific proteins, mRNA, small non-coding RNA including miRNA and DNA. Particularly the protein and miRNA markers received much attention as they may allow for highly specific diagnosis and can provide hints toward tumor aggressiveness and progression, where exosome-based diagnosis and follow-up is greatly facilitated by the recovery of exosomes in body fluids, particularly the peripheral blood. Beyond this, exosomes are the most important intercellular communicators that modulate, instruct, and reprogram their surrounding as well as distant organs. In concern about TEX this includes message transfer from tumor cells toward the tumor stroma, the premetastatic niche, the hematopoietic system and, last but not least, the instruction of noncancer stem cells by cancer-initiating cells (CIC). Taking this into account, it becomes obvious that tailored exosomes offer themselves as potent therapeutic delivery system. In brief, during the last 4-5 years there is an ever-increasing, overwhelming interest in exosome research. This boom appears fully justified provided the content of the exosomes becomes most thoroughly analyzed and their mode of intercellular interaction can be unraveled in detail as this knowledge will open new doors toward cancer diagnosis and therapy including immunotherapy and CIC reprogramming.</t>
  </si>
  <si>
    <t>[Zoeller, Margot] Univ Hosp Surg, Tumor Cell Biol, Heidelberg, Germany</t>
  </si>
  <si>
    <t>Ruprecht Karls University Heidelberg</t>
  </si>
  <si>
    <t>Zoller, M (corresponding author), Univ Hosp Surg, Tumor Cell Biol, Heidelberg, Germany.</t>
  </si>
  <si>
    <t>978-1-4939-3204-7; 978-1-4939-3203-0</t>
  </si>
  <si>
    <t>10.1007/978-1-4939-3204-7_7</t>
  </si>
  <si>
    <t>10.1007/978-1-4939-3204-7</t>
  </si>
  <si>
    <t>WOS:000687329200008</t>
  </si>
  <si>
    <t>Xing, S; Lu, ZD; Huang, Q; Li, HL; Wang, Y; Lai, YZ; He, Y; Deng, M; Liu, WL</t>
  </si>
  <si>
    <t>Xing, Shan; Lu, Zedong; Huang, Qi; Li, Huilan; Wang, Yu; Lai, Yanzhen; He, Yi; Deng, Min; Liu, Wanli</t>
  </si>
  <si>
    <t>An ultrasensitive hybridization chain reaction-amplified CRISPR-Cas12a aptasensor for extracellular vesicle surface protein quantification</t>
  </si>
  <si>
    <t>Tumor-derived exosomes; CRISPR-Cas12a; Hybridization chain reaction; Aptamer; Fluorescence</t>
  </si>
  <si>
    <t>EARLY-DIAGNOSIS; LIQUID BIOPSY; EXOSOMES; AMPLIFICATION; DNA; NANOPARTICLES; BIOGENESIS; SECRETION; APTAMERS; PLATFORM</t>
  </si>
  <si>
    <t>Tumor-derived extracellular vesicle (TEV) protein biomarkers facilitate cancer diagnosis and prognostic evaluations. However, the lack of reliable and convenient quantitative methods for evaluating TEV proteins prevents their clinical application. Methods: Here, based on dual amplification of hybridization chain reaction (HCR) and CRISPR-Cas12a, we developed the apta-HCR-CRISPR assay for direct high-sensitivity detection of TEV proteins. The TEV protein-targeted aptamer was amplified by HCR to produce a long-repeated sequence comprising multiple CRISPR RNA (crRNA) targetable barcodes, and the signals were further amplified by CRISPR-Cas12a collateral cleavage activities, resulting in a fluorescence signal. Results: The established strategy was verified by detecting the TEV protein markers nucleolin and programmed death ligand 1 (PD-L1). Both achieved limit of detection (LOD) values as low as 10(2) particles/mu L, which is at least 10(4)-fold more sensitive than aptamer-ELISA and 10(2)-fold more sensitive than apta-HCR-ELISA. We directly applied our assay to a clinical analysis of circulating TEVs from 50 mu L of serum, revealing potential applications of nucleolin(+) TEVs for nasopharyngeal carcinoma cancer (NPC) diagnosis and PD-L1(+) TEVs for therapeutic monitoring. Conclusion: The platform was simple and easy to operate, and this approach should be useful for the highly sensitive and versatile quantification of TEV proteins in clinical samples.</t>
  </si>
  <si>
    <t>[Xing, Shan; Lu, Zedong; Huang, Qi; Li, Huilan; Wang, Yu; Lai, Yanzhen; He, Yi; Liu, Wanli] Sun Yat Sen Univ, Collaborat Innovat Ctr Canc Med, Dept Clin Lab,Canc Ctr, State Key Lab Oncol South China,Guangdong Key Lab, 651 Dongfeng Rd East, Guangzhou 510060, Peoples R China; [Xing, Shan] Sun Yat Sen Univ, Sch Biomed Engn, 132 Waihuandong Rd, Guangzhou 510006, Peoples R China; [Lai, Yanzhen] Heyuan Peoples Hosp, Heyuan, Peoples R China; [Deng, Min] Guangzhou Med Univ, Affiliated Canc Hosp &amp; Inst, 78 Hengzhigang Rd, Guangzhou 510095, Peoples R China</t>
  </si>
  <si>
    <t>State Key Lab Oncology South China; Sun Yat Sen University; Sun Yat Sen University; Guangzhou Medical University</t>
  </si>
  <si>
    <t>Deng, M (corresponding author), Guangzhou Med Univ, Affiliated Canc Hosp &amp; Inst, 78 Hengzhigang Rd, Guangzhou 510095, Peoples R China.;Liu, WL (corresponding author), Sun Yat Sen Univ, Canc Ctr, Dept Clin Lab, 651 Dongfeng Rd East, Guangzhou 510060, Guangdong, Peoples R China.</t>
  </si>
  <si>
    <t>dengmin510095@163.com; liuwl@sysucc.org.cn</t>
  </si>
  <si>
    <t>10.7150/thno.49047</t>
  </si>
  <si>
    <t>WOS:000572486100002</t>
  </si>
  <si>
    <t>Liao, GF; Liu, XF; Yang, XH; Wang, Q; Geng, XH; Zou, LY; Liu, YQ; Li, SY; Zheng, Y; Wang, KM</t>
  </si>
  <si>
    <t>Liao, Guofu; Liu, Xiaofeng; Yang, Xiaohai; Wang, Qing; Geng, Xiuhua; Zou, Liyuan; Liu, Yaqin; Li, Shaoyuan; Zheng, Yan; Wang, Kemin</t>
  </si>
  <si>
    <t>Surface plasmon resonance assay for exosomes based on aptamer recognition and polydopamine-functionalized gold nanoparticles for signal amplification</t>
  </si>
  <si>
    <t>MICROCHIMICA ACTA</t>
  </si>
  <si>
    <t>SMMC-7721 exosomes; HAuCl4; DNA tetrahedron probes; Specificity; Au deposition</t>
  </si>
  <si>
    <t>AT-POLYDOPAMINE; BIOSENSOR; NANOSHEETS</t>
  </si>
  <si>
    <t>A novel surface plasmon resonance (SPR) strategy is introduced for the specific determination of exosomes based on aptamer recognition and polydopamine-functionalized gold nanoparticle (Au@PDA NP)-assisted signal amplification. Exosomes derived from hepatic carcinoma SMMC-7721 were selected as the model target. SMMC-7721 exosomes can be specifically captured by the aptamer ZY-sls that was complementary to the DNA tetrahedron probes (DTPs), and then the CD63 aptamer-linked Au@PDA NPs recognized SMMC-7721 exosomes for signal amplification. The DTPs were modified on a Au film for preventing Au deposition on the surface during the introduction of HAuCl4, and PDA coated on the AuNPs was used to reduce HAuCl4 in situ without any reductant assistance. It results in a further enhanced SPR signal. The assay can clearly distinguish SMMC-7721 exosomes from others (HepG2 exosomes, Bel-7404 exosomes, L02 exosomes, MCF-7 exosomes, and SW480 exosomes, respectively). SMMC-7721 exosomes are specifically determined as low as 5.6 x 10(5) particles mL(-1). The method has successfully achieved specific determination of SMMC-7721 exosomes even in 50% of human serum without any pretreatment.</t>
  </si>
  <si>
    <t>[Liao, Guofu; Liu, Xiaofeng; Yang, Xiaohai; Wang, Qing; Geng, Xiuhua; Zou, Liyuan; Liu, Yaqin; Li, Shaoyuan; Zheng, Yan; Wang, Kemin] Hunan Univ, Coll Chem &amp; Chem Engn, State Key Lab Chemo Biosensing &amp; Chemometr, Key Lab Bionanotechnol &amp; Mol Engn Hunan Prov, Changsha 410082, Hunan, Peoples R China</t>
  </si>
  <si>
    <t>Wang, Q; Wang, KM (corresponding author), Hunan Univ, Coll Chem &amp; Chem Engn, State Key Lab Chemo Biosensing &amp; Chemometr, Key Lab Bionanotechnol &amp; Mol Engn Hunan Prov, Changsha 410082, Hunan, Peoples R China.</t>
  </si>
  <si>
    <t>wwqq99@hnu.edu.cn; kmwang@hnu.edu.cn</t>
  </si>
  <si>
    <t>Yang, Xiaohai/0000-0001-8122-7140; Liu, Xiaofeng/0000-0002-0447-5658</t>
  </si>
  <si>
    <t>0026-3672</t>
  </si>
  <si>
    <t>1436-5073</t>
  </si>
  <si>
    <t>MAR 30</t>
  </si>
  <si>
    <t>10.1007/s00604-020-4183-1</t>
  </si>
  <si>
    <t>WOS:000522936400001</t>
  </si>
  <si>
    <t>Zhang, B; Zhao, N; Jia, L; Che, JY; He, XX; Liu, KF; Bao, BL</t>
  </si>
  <si>
    <t>Zhang, Bo; Zhao, Na; Jia, Lei; Che, Jinyuan; He, Xiaoxu; Liu, Kefeng; Bao, Baolong</t>
  </si>
  <si>
    <t>Identification and application of piwi-interacting RNAs from seminal plasma exosomes in Cynoglossus semilaevis</t>
  </si>
  <si>
    <t>Piwi-interacting RNAs; Seminal plasma exosome; Cynoglossus semilaevis; Pseudomale; Biomarkers</t>
  </si>
  <si>
    <t>PIRNA PATHWAY; SEX; 21U-RNAS; GENOME; PCR</t>
  </si>
  <si>
    <t>BackgroundPiwi-interacting RNAs (piRNAs) have been linked to epigenetic and post-transcriptional gene silencing of retrotransposons in germ line cells, particularly in spermatogenesis. Exosomes are important mediators of vesicle transport, and the piRNAs in exosomes might play an important role in cell communication and signal pathway regulation. Moreover, exosomic piRNAs are promising biomarkers for disease diagnosis and physiological status indication. We used Cynoglossus semilaevis because of its commercial value and its sexual dimorphism, particularly the sex reversed pseudomales who have a female karyotype, produce sperm, and copulate with normal females to produce viable offspring.ResultsTo determine whether piRNAs from fish germ line cells have similar features, seminal plasma exosomes from half-smooth tongue sole, C. semilaevis, were identified, and their small RNAs were sequenced and analysed. We identified six signature piRNAs as biomarkers in exosomes of seminal plasma from males and pseudomale C. semilaevis. Bioinformatic analysis showed that all six signatures were sex-related, and four were DNA methylation-related and transposition-related piRNAs. Their expression profiles were verified using real-time quantitative PCR. The expression of the signature piRNAs was markedly higher in males than in pseudomales. The signature piRNAs could be exploited as male-specific biomarkers in this fish.ConclusionsThese signatures provide an effective tool to explore the regulatory mechanism of sex development in C. semilaevis and may provide guidance for future research on the function of piRNAs in the generative mechanism of sex reversed pseudomales in C. semilaevis.</t>
  </si>
  <si>
    <t>[Zhang, Bo; Che, Jinyuan; Bao, Baolong] Shanghai Ocean Univ, Minist Educ, Key Lab Explorat &amp; Utilizat Aquat Genet Resources, Shanghai 201306, Peoples R China; [Zhang, Bo; Che, Jinyuan; Bao, Baolong] Shanghai Ocean Univ, Minist Sci &amp; Technol, Int Res Ctr Marine Biosci, Shanghai 201306, Peoples R China; [Zhang, Bo; Che, Jinyuan; Bao, Baolong] Shanghai Ocean Univ, Natl Demonstrat Ctr Expt Fisheries Sci Educ, Shanghai 201306, Peoples R China; [Zhang, Bo; Jia, Lei; He, Xiaoxu; Liu, Kefeng] Tianjin Sea Fisheries Res Inst, Tianjin, Peoples R China; [Zhao, Na] Tianjin Med Biotechnol Co Ltd, Tianjin, Peoples R China</t>
  </si>
  <si>
    <t>Shanghai Ocean University; Shanghai Ocean University; Shanghai Ocean University</t>
  </si>
  <si>
    <t>Bao, BL (corresponding author), Shanghai Ocean Univ, Minist Educ, Key Lab Explorat &amp; Utilizat Aquat Genet Resources, Shanghai 201306, Peoples R China.;Bao, BL (corresponding author), Shanghai Ocean Univ, Minist Sci &amp; Technol, Int Res Ctr Marine Biosci, Shanghai 201306, Peoples R China.;Bao, BL (corresponding author), Shanghai Ocean Univ, Natl Demonstrat Ctr Expt Fisheries Sci Educ, Shanghai 201306, Peoples R China.</t>
  </si>
  <si>
    <t>blbao@shou.edu.cn</t>
  </si>
  <si>
    <t>zhang, bo/0000-0002-9157-8988</t>
  </si>
  <si>
    <t>APR 15</t>
  </si>
  <si>
    <t>10.1186/s12864-020-6660-7</t>
  </si>
  <si>
    <t>WOS:000529208400006</t>
  </si>
  <si>
    <t>Yang, SJ; Che, SPY; Kurywchak, P; Tavormina, JL; Gansmo, LB; de Sampaio, PC; Tachezy, M; Bockhorn, M; Gebauer, F; Haltom, AR; Melo, SA; LeBleu, VS; Kalluri, R</t>
  </si>
  <si>
    <t>Yang, Sujuan; Che, Sara P. Y.; Kurywchak, Paul; Tavormina, Jena L.; Gansmo, Liv B.; de Sampaio, Pedro Correa; Tachezy, Michael; Bockhorn, Maximilian; Gebauer, Florian; Haltom, Amanda R.; Melo, Sonia A.; LeBleu, Valerie S.; Kalluri, Raghu</t>
  </si>
  <si>
    <t>Detection of mutant KRAS and TP53 DNA in circulating exosomes from healthy individuals and patients with pancreatic cancer</t>
  </si>
  <si>
    <t>CANCER BIOLOGY &amp; THERAPY</t>
  </si>
  <si>
    <t>Circulating exosomal DNA; digital PCR; exosome; KRAS; liquid biopsy; TP53; pancreatic cancer</t>
  </si>
  <si>
    <t>K-RAS MUTATIONS; PAPILLARY MUCINOUS TUMORS; CELL-FREE DNA; DIGITAL PCR; COLORECTAL-CANCER; GENE-MUTATIONS; P53; MICROENVIRONMENT; FREQUENCY; GENOMICS</t>
  </si>
  <si>
    <t>Pancreatic cancer presents with a dismal mortality rate and is in urgent need of methods for early detection with potential for timely intervention. All living cells, including cancer cells, generate exosomes. We previously discovered double stranded genomic DNA in exosomes derived from the circulation of pancreatic cancer patients, which enabled the detection of prevalent mutations associated with the disease. Here, we report a proof-of-concept study that demonstrates the potential clinical utility of circulating exosomal DNA for identification of KRAS(G12D) and TP53(R273H) mutations in patients with pancreas-associated pathologies, including pancreatic ductal adenocarcinoma (PDAC), chronic pancreatitis (CP) and intraductal papillary mucinous neoplasm (IPMN), and in healthy human subjects. In 48 clinically annotated serum samples from PDAC patients, digital PCR analyses of exosomal DNA identified KRAS(G12D) mutation in 39.6% of cases, and TP53(R273H) mutation in 4.2% of cases. KRAS(G12D) and TP53(R273H) mutations were also detected in exosomal DNA from IPMN patients (2 out of 7 with KRAS(G12D), one of which also co-presented with TP53(R273H) mutation). Circulating exosomal DNA in 5 out of 9 CP patients enabled the detection of KRAS(G12D) mutation. In 114 healthy subject-derived circulating exosomal DNA, 2.6% presented with KRAS(G12D) mutation and none with TP53(R273H) mutation. This study highlights the value of circulating exosomal DNA for a rapid, low-cost identification of cancer driving mutations. The identification of mutations in IPMN patients and healthy subjects suggests that liquid biopsies may allow potential assessment of cancer risk but with a cautionary note that detection of clinical cancer cannot be assumed.</t>
  </si>
  <si>
    <t>[Yang, Sujuan; Che, Sara P. Y.; Kurywchak, Paul; Tavormina, Jena L.; Gansmo, Liv B.; de Sampaio, Pedro Correa; Haltom, Amanda R.; LeBleu, Valerie S.; Kalluri, Raghu] Univ Texas MD Anderson Canc Ctr, Metastasis Res Ctr, Dept Canc Biol, Houston, TX 77030 USA; [Tachezy, Michael; Bockhorn, Maximilian; Gebauer, Florian] Univ Med Ctr Hamburg Eppendorf, Dept Gen Visceral &amp; Thorac Surg, Hamburg, Germany; [Melo, Sonia A.] Univ Porto, I3S, Oporto, Portugal; [Melo, Sonia A.] Univ Porto IPATIMUP, Inst Pathol &amp; Mol Immunol, Oporto, Portugal</t>
  </si>
  <si>
    <t>University of Texas System; UTMD Anderson Cancer Center; University of Hamburg; University Medical Center Hamburg-Eppendorf; Universidade do Porto; i3S - Instituto de Investigacao e Inovacao em Saude, Universidade do Porto; Universidade do Porto</t>
  </si>
  <si>
    <t>Kalluri, R (corresponding author), Univ Texas MD Anderson Canc Ctr, Dept Canc Biol, 1515 Holcombe Blvd, Houston, TX 77030 USA.</t>
  </si>
  <si>
    <t>Tachezy, Michael/AAD-6759-2022; MELO, SONIA/H-8972-2013; Kalluri, Raghu/E-2677-2015</t>
  </si>
  <si>
    <t>MELO, SONIA/0000-0002-2291-4263; Tavormina, Jena/0000-0003-4869-7866; Haltom, Amanda/0000-0002-1291-3793; Correa de Sampaio, Pedro/0000-0001-5597-2825; Kalluri, Raghu/0000-0002-2190-547X</t>
  </si>
  <si>
    <t>1538-4047</t>
  </si>
  <si>
    <t>1555-8576</t>
  </si>
  <si>
    <t>10.1080/15384047.2017.1281499</t>
  </si>
  <si>
    <t>WOS:000399501600006</t>
  </si>
  <si>
    <t>Yokoi, A; Villar-Prados, A; Oliphint, PA; Zhang, JH; Song, XZ; De Hoff, P; Morey, R; Liu, JS; Roszik, J; Clise-Dwyer, K; Burks, JK; O'Halloran, TJ; Laurent, LC; Sood, AK</t>
  </si>
  <si>
    <t>Yokoi, Akira; Villar-Prados, Alejandro; Oliphint, Paul Allen; Zhang, Jianhua; Song, Xingzhi; De Hoff, Peter; Morey, Robert; Liu, Jinsong; Roszik, Jason; Clise-Dwyer, Karen; Burks, Jared K.; O'Halloran, Theresa J.; Laurent, Louise C.; Sood, Anil K.</t>
  </si>
  <si>
    <t>Mechanisms of nuclear content loading to exosomes</t>
  </si>
  <si>
    <t>SCIENCE ADVANCES</t>
  </si>
  <si>
    <t>EXTRACELLULAR VESICLES; DNA; MICRONUCLEUS; INSTABILITY; INHIBITORS; PROTEIN</t>
  </si>
  <si>
    <t>Exosome cargoes are highly varied and include proteins, small RNAs, and genomic DNA (gDNA). The presence of gDNA suggests that different intracellular compartments contribute to exosome loading, resulting in distinct exosome subpopulations. However, the loading of gDNA and other nuclear contents into exosomes (nExo) remains poorly understood. Here, we identify the relationship between cancer cell micronuclei (MN), which are markers of genomic instability, and nExo formation. Imaging flow cytometry analyses reveal that 10% of exosomes derived from cancer cells and &lt;1% of exosomes derived from blood and ascites from patients with ovarian cancer carry nuclear contents. Treatment with genotoxic drugs resulted in increased MN and nExos both in vitro and in vivo. We observed that multivesicular body precursors and exosomal markers, such as the tetraspanins, directly interact with MN. Collectively, this work provides new insights related to nExos, which have implications for cancer biomarker development.</t>
  </si>
  <si>
    <t>[Yokoi, Akira; Villar-Prados, Alejandro; Sood, Anil K.] Univ Texas MD Anderson Canc Ctr, Dept Gynecol Oncol &amp; Reprod Med, Houston, TX 77030 USA; [Villar-Prados, Alejandro] Stanford Univ, Dept Med, Stanford, CA 94305 USA; [Oliphint, Paul Allen; O'Halloran, Theresa J.] Univ Texas Austin, Dept Mol Biosci, Austin, TX 78712 USA; [Oliphint, Paul Allen; O'Halloran, Theresa J.] Univ Texas Austin, Inst Cellular &amp; Mol Biol, Austin, TX 78712 USA; [Zhang, Jianhua; Song, Xingzhi; Roszik, Jason] Univ Texas MD Anderson Canc Ctr, Dept Genom Med, Houston, TX 77030 USA; [De Hoff, Peter; Morey, Robert; Laurent, Louise C.] Univ Calif San Diego, Dept Obstet Gynecol &amp; Reprod Sci, La Jolla, CA 92093 USA; [Morey, Robert; Laurent, Louise C.] Univ Calif San Diego, Bioinformat &amp; Syst Biol Grad Program, La Jolla, CA 92093 USA; [Liu, Jinsong] Univ Texas MD Anderson Canc Ctr, Dept Pathol, Houston, TX 77030 USA; [Roszik, Jason] Univ Texas MD Anderson Canc Ctr, Dept Melanoma Med Oncol, Houston, TX 77030 USA; [Clise-Dwyer, Karen] Univ Texas MD Anderson Canc Ctr, Dept Stem Cell Transplantat &amp; Cellular Therapy, Sect Transplant Immunol, Houston, TX 77030 USA; [Burks, Jared K.] Univ Texas MD Anderson Canc Ctr, Dept Leukemia, Houston, TX 77030 USA; [Burks, Jared K.] Univ Texas MD Anderson Canc Ctr, Div Canc Med, Houston, TX 77030 USA; [Sood, Anil K.] Univ Texas MD Anderson Canc Ctr, Ctr RNA Interference &amp; Noncoding RNA, Houston, TX 77030 USA</t>
  </si>
  <si>
    <t>University of Texas System; UTMD Anderson Cancer Center; Stanford University; University of Texas System; University of Texas Austin; University of Texas System; University of Texas Austin; University of Texas System; UTMD Anderson Cancer Center; University of California System; University of California San Diego; University of California System; University of California San Diego; University of Texas System; UTMD Anderson Cancer Center; University of Texas System; UTMD Anderson Cancer Center; University of Texas System; UTMD Anderson Cancer Center; University of Texas System; UTMD Anderson Cancer Center; University of Texas System; UTMD Anderson Cancer Center; University of Texas System; UTMD Anderson Cancer Center</t>
  </si>
  <si>
    <t>Sood, AK (corresponding author), Univ Texas MD Anderson Canc Ctr, Dept Gynecol Oncol &amp; Reprod Med, Houston, TX 77030 USA.;Sood, AK (corresponding author), Univ Texas MD Anderson Canc Ctr, Ctr RNA Interference &amp; Noncoding RNA, Houston, TX 77030 USA.</t>
  </si>
  <si>
    <t>asood@mdanderson.org</t>
  </si>
  <si>
    <t>Roszik, Jason/0000-0002-4561-6170; Laurent, Louise/0000-0002-2095-7534; Villar-Prados, Alejandro/0000-0001-6900-3267</t>
  </si>
  <si>
    <t>2375-2548</t>
  </si>
  <si>
    <t>eaax8849</t>
  </si>
  <si>
    <t>10.1126/sciadv.aax8849</t>
  </si>
  <si>
    <t>WOS:000499736100073</t>
  </si>
  <si>
    <t>Chen, YY; Dagg, R; Zhang, YC; Lee, JHY; Lu, RB; La Rotta, NM; Sampl, S; Korkut-Demirbas, M; Holzmann, K; Lau, LMS; Reddel, RR; Henson, JD</t>
  </si>
  <si>
    <t>Chen, Yuan-Yin; Dagg, Rebecca; Zhang, Yuchen; Lee, Joyce H. Y.; Lu, Robert; Martin La Rotta, Nancy; Sampl, Sandra; Korkut-Demirbas, Medina; Holzmann, Klaus; Lau, Loretta M. S.; Reddel, Roger R.; Henson, Jeremy D.</t>
  </si>
  <si>
    <t>The C-Circle Biomarker Is Secreted by Alternative-Lengthening-of-Telomeres Positive Cancer Cells inside Exosomes and Provides a Blood-Based Diagnostic for ALT Activity</t>
  </si>
  <si>
    <t>C-Circle Assay; ALT; telomere; telomere maintenance mechanism; exosomes; cancer diagnostic</t>
  </si>
  <si>
    <t>EXTRACELLULAR VESICLES; TRANSFERRIN RECEPTOR; BIOGENESIS; MECHANISM; DNA; MEDIATORS; COMPONENT; SARCOMAS; MARKERS; TUMORS</t>
  </si>
  <si>
    <t>Simple Summary A clinical test for alternative-lengthening-of-telomeres (ALT) could assist with cancer diagnosis and monitoring of disease progression. ALT-targeted anticancer treatments are being developed; however, there is no appropriate companion ALT diagnostic. The C-Circle biomarker is the only known ALT specific molecule and the C-Circle Assay the only quantitative ALT assay that is amenable to clinical use. We show here that C-Circles are secreted by ALT+ cancer cell lines inside the exosomes and are protected from nucleases. We also show that secreted C-Circles, like intracellular C-Circles, are an ALT-specific biomarker, and in high-risk neuroblastoma, the blood-based C-Circle Assay has the potential to be an accurate diagnostic for ALT cancer activity. Therefore, the secretion of C-Circles by ALT+ cancer cells in the exosomes provides a stable blood-based biomarker and, potentially, a clinical diagnostic for ALT activity, which is required for the development of ALT-targeted therapies as well as for the diagnosis and monitoring of ALT+ cancer. C-Circles, self-primed telomeric C-strand templates for rolling circle amplification, are the only known alternative-lengthening-of-telomeres (ALT)-specific molecule. However, little is known about the biology of C-Circles and if they may be clinically useful. Here we show that C-Circles are secreted by ALT+ cancer cells inside exosomes, and that a blood-based C-Circle Assay (CCA) can provide an accurate diagnostic for ALT activity. Extracellular vesicles were isolated by differential centrifugation from the growth media of lung adenocarcinoma, glioblastoma, neuroblastoma, osteosarcoma, and soft tissue sarcoma cell lines, and C-Circles were detected in the exosome fraction from all eleven ALT+ cancer cell lines and not in any extracellular fraction from the eight matching telomerase positive cancer cell lines or the normal fibroblast strain. The existence of C-Circles in ALT+ exosomes was confirmed with exosomes isolated by iodixanol gradient separation and CD81-immunoprecipitation, and C-Circles in the exosomes were protected from nucleases. On average, 0.4% of the total ALT+ intracellular C-Circles were secreted in the exosomes every 24 h. Comparing the serum-based and tumor-based CCAs in 35 high risk neuroblastoma patients divided randomly into ALT+ threshold derivation and validation groups, we found the serum-based CCA to have 100% sensitivity (6/6), 70% specificity (7/10), and 81% concordance (13/16). We conclude that the secretion of C-Circles by ALT+ cancer cells in the exosomes provides a stable blood-based biomarker and a potential clinical diagnostic for ALT activity.</t>
  </si>
  <si>
    <t>[Chen, Yuan-Yin; Zhang, Yuchen; Lu, Robert; Martin La Rotta, Nancy; Henson, Jeremy D.] Univ NSW, UNSW, Prince Wales Clin Sch, Sydney, NSW 2052, Australia; [Dagg, Rebecca; Lau, Loretta M. S.] Univ Sydney, Fac Med &amp; Hlth, Childrens Hosp Westmead, Childrens Canc Res Unit, Westmead, NSW 2145, Australia; [Lee, Joyce H. Y.; Reddel, Roger R.] Univ Sydney, Fac Med &amp; Hlth, Childrens Med Res Inst, Westmead, NSW 2145, Australia; [Sampl, Sandra; Korkut-Demirbas, Medina; Holzmann, Klaus] Med Univ Vienna, Comprehens Canc Ctr, Inst Canc Res, Dept Med 1, A-1090 Vienna, Austria</t>
  </si>
  <si>
    <t>University of New South Wales Sydney; University of Sydney; Children's Medical Research Institute - Australia; University of Sydney; Medical University of Vienna</t>
  </si>
  <si>
    <t>Henson, JD (corresponding author), Univ NSW, UNSW, Prince Wales Clin Sch, Sydney, NSW 2052, Australia.</t>
  </si>
  <si>
    <t>yuchen.zhang@uq.net.au; klaus.holzmann@meduniwien.ac.at</t>
  </si>
  <si>
    <t>Holzmann, Klaus/I-4437-2019; Reddel, Roger/A-6635-2014</t>
  </si>
  <si>
    <t>Holzmann, Klaus/0000-0003-4077-3377; Henson, Jeremy/0000-0002-1594-9310; ZHANG, Yuchen/0000-0002-4702-1963; Lau, Loretta/0000-0002-3172-0970; Reddel, Roger/0000-0002-6302-6107; Dagg, Rebecca/0000-0002-3023-9616</t>
  </si>
  <si>
    <t>10.3390/cancers13215369</t>
  </si>
  <si>
    <t>WOS:000718496000001</t>
  </si>
  <si>
    <t>Ding, ZL; Lu, YB; Wei, YY; Song, D; Xu, ZR; Fang, J</t>
  </si>
  <si>
    <t>Ding, Ziling; Lu, Yanbing; Wei, Yunyun; Song, Dan; Xu, Zhangrun; Fang, Jin</t>
  </si>
  <si>
    <t>DNA-Engineered iron-based metal-organic framework bio-interface for rapid visual determination of exosomes</t>
  </si>
  <si>
    <t>JOURNAL OF COLLOID AND INTERFACE SCIENCE</t>
  </si>
  <si>
    <t>Exosome; Rapid detection; DNA engineering; Metal-organic framework; Bio-interface</t>
  </si>
  <si>
    <t>PEROXIDASE-LIKE ACTIVITY; NANOSHEETS; STORAGE; SENSOR</t>
  </si>
  <si>
    <t>In this study, a rapid, low-cost and facile method for detecting exosomes was developed by engineering DNA ligands on the surface of an iron-based metal-organic framework (Fe-MOF). Aptamers of exosomal transmembrane CD63 protein (CD63-aptamers) were utilized as both the optically active layer and the exosome-specific recognition element to engineer an Fe-MOF bio-interface for high-efficiency regulation of the catalytic behavior of Fe-MOF toward the chromogenic substrate. The effective enhancement of the intrinsic peroxidase-like catalytic activity was confirmed via the self-assembly of CD63-aptamers on the surface of Fe-MOF. The specific binding of exosomes with CD63-aptamers altered the conformation of DNA ligands on the surface of Fe-MOF, contributing to sensitive variation in Fe-MOF catalytic activity. This directly produced a distinct color change and enabled the visual detection of exosomes. Via one-step mixing-and-detection, the Fe-MOF bio-interface exhibited excellent performance in quantitative analysis of exosomes derived from human breast cancer cell lines ranging from 1.1 x 10(5) to 2.2 x 10(7) particles/mu L with a detection limit of 5.2 x 10(4) particles/mu L. The expression of exosomal CD63 proteins originated from three types of cancer cell lines, including breast cancer, gastric cancer and lung cancer cell lines, was differentiated within only 17 min. Furthermore, the method was successfully applied to the identification of exosomes in serum samples, suggesting its potential in clinical analysis as a valuable tool for the rapid, convenient and economical testing of exosomes. (C) 2021 Elsevier Inc. All rights reserved.</t>
  </si>
  <si>
    <t>[Ding, Ziling; Wei, Yunyun; Song, Dan; Xu, Zhangrun] Northeastern Univ, Res Ctr Analyt Sci, Shenyang 110819, Peoples R China; [Lu, Yanbing; Fang, Jin] China Med Univ, Dept Cell Biol, Key Lab Cell Biol, Minist Publ Hlth, Shenyang 110122, Peoples R China; [Lu, Yanbing; Fang, Jin] China Med Univ, Key Lab Med Cell Biol, Minist Educ, Shenyang 110122, Peoples R China</t>
  </si>
  <si>
    <t>Northeastern University - China; China Medical University; China Medical University</t>
  </si>
  <si>
    <t>Xu, ZR (corresponding author), Northeastern Univ, Res Ctr Analyt Sci, Shenyang 110819, Peoples R China.</t>
  </si>
  <si>
    <t>xuzr@mail.neu.edu.cn</t>
  </si>
  <si>
    <t>0021-9797</t>
  </si>
  <si>
    <t>1095-7103</t>
  </si>
  <si>
    <t>10.1016/j.jcis.2021.12.133</t>
  </si>
  <si>
    <t>Chemistry, Physical</t>
  </si>
  <si>
    <t>WOS:000750616800006</t>
  </si>
  <si>
    <t>Kim, Y; Shin, S; Kim, B; Lee, KA</t>
  </si>
  <si>
    <t>Kim, Yoonjung; Shin, Saeam; Kim, Boyeon; Lee, Kyung-A</t>
  </si>
  <si>
    <t>Selecting short length nucleic acids localized in exosomes improves plasma EGFR mutation detection in NSCLC patients</t>
  </si>
  <si>
    <t>Liquid biopsy; Extracellular vesicles; Circulating tumor DNA; Non-small cell lung cancer; Epidermal growth factor receptor; ddPCR</t>
  </si>
  <si>
    <t>CELL LUNG-CANCER; CIRCULATING TUMOR DNA; CLINICAL-OUTCOMES; LIQUID BIOPSY; VESICLE</t>
  </si>
  <si>
    <t>Background Exosomal nucleic acid (exoNA) is a feasible target to improve the sensitivity of EGFR mutation testing in non-small cell lung cancer patients with limited cell-free DNA (cfDNA) mutant copies. However, the type and size of target exoNA related to the sensitivity of EGFR mutation testing has not been explored extensively. Methods The type and size of target exoNA related to the sensitivity of EGFR mutation testing was evaluated using ddPCR. A total of 47 plasma samples was tested using short-length exoTNA (exosomal DNA and RNA) and cfDNA. Results The sensitivity of short-length exoTNA (76.5%) was higher than that of cfDNA (64.7%) for detecting EGFR mutations in NSCLC patients. In EGFR-mutant NSCLC patients with intrathoracic disease (M0/M1a) or cases with low-copy T790M, the positive rate was 63.6% (N = 7/11) and 45.5% (N = 5/11) for short-length exoTNA and cfDNA, respectively. On average, the number absolute mutant copies of short-length exoTNA were 1.5 times higher than that of cfDNA. The mutant allele copies (Ex19del and T790M) in short-length exoTNA were relatively well preserved at 4 weeks after storage. The difference (%) in absolute mutant allele copies (Ex19del) between 0 days and 4 weeks after storage was - 61.0% for cfDNA. Conclusion Target nucleic acids and their size distribution may be critical considerations for selecting an extraction method and a detection assay. A short-length exoTNA (200 bp) contained more detectable tumor-derived nucleic acids than exoDNA (similar to 200 bp length or a full-length) or cfDNA. Therefore, a short-length exoTNA as a sensitive biomarker might be useful to detect EGFR mutants for NSCLC patients with low copy number of the mutation target.</t>
  </si>
  <si>
    <t>[Kim, Yoonjung; Shin, Saeam; Kim, Boyeon; Lee, Kyung-A] Yonsei Univ, Coll Med, Dept Lab Med, Seoul, South Korea</t>
  </si>
  <si>
    <t>Yonsei University; Yonsei University Health System</t>
  </si>
  <si>
    <t>Lee, KA (corresponding author), Yonsei Univ, Coll Med, Dept Lab Med, Seoul, South Korea.</t>
  </si>
  <si>
    <t>KAL1119@yuhs.ac</t>
  </si>
  <si>
    <t>Lee, Kyung-A/0000-0001-5320-6705; Kim, Yoonjung/0000-0002-4370-4265; Kim, Boyeon/0000-0003-1867-8648; Shin, Saeam/0000-0003-1501-3923</t>
  </si>
  <si>
    <t>10.1186/s12935-019-0978-8</t>
  </si>
  <si>
    <t>WOS:000488473300001</t>
  </si>
  <si>
    <t>Anyanwu, SI; Doherty, A; Powell, MD; Obialo, C; Huang, MB; Quarshie, A; Mitchell, C; Bashir, K; Newman, GW</t>
  </si>
  <si>
    <t>Anyanwu, Samuel I.; Doherty, Akins; Powell, Michael D.; Obialo, Chamberlain; Huang, Ming B.; Quarshie, Alexander; Mitchell, Claudette; Bashir, Khalid; Newman, Gale W.</t>
  </si>
  <si>
    <t>Detection of HIV-1 and Human Proteins in Urinary Extracellular Vesicles from HIV+ Patients</t>
  </si>
  <si>
    <t>ADVANCES IN VIROLOGY</t>
  </si>
  <si>
    <t>GROWTH-FACTOR-BETA; PROTEOMIC ANALYSIS; EXOSOMES; INFECTION; PLASMA; NEF; IMMUNODEFICIENCY; DISEASE; KIDNEY; CELLS</t>
  </si>
  <si>
    <t>Background. Extracellular vesicles (EVs) are membrane bound, secreted by cells, and detected in bodily fluids, including urine, and contain proteins, RNA, and DNA. Our goal was to identify HIV and human proteins (HPs) in urinary EVs from HIV+ patients and compare them to HIV-samples. Methods. Urine samples were collected from HIV+ (n = 35) and HIV-(n = 12) individuals. EVs were isolated by ultrafiltration and characterized using transmission electron microscopy, tandem mass spectrometry (LC/MS/MS), and nanoparticle tracking analysis (NTA). Western blots confirmed the presence of HIV proteins. Gene ontology (GO) analysis was performed using FunRich and HIV Human Interaction database (HHID). Results. EVs from urine were 30-400 nm in size. More EVs were in HIV+ patients, p &lt; 0.05, by NTA. HIV+ samples had 14,475 HPs using LC/MS/MS, while only 111 were in HIV-. HPs in the EVs were of exosomal origin. LC/MS/MS showed all HIV+ samples contained at least one HIV protein. GO analysis showed differences in proteins between HIV+ and HIV- samples and more than 50% of the published HPs in the HHID interacted with EV HIV proteins. Conclusion. Differences in the proteomic profile of EVs from HIV+ versus HIV-samples were found. HIV and HPs in EVs could be used to detect infection and/or diagnose HIV disease syndromes.</t>
  </si>
  <si>
    <t>[Anyanwu, Samuel I.; Doherty, Akins; Powell, Michael D.; Huang, Ming B.; Mitchell, Claudette; Newman, Gale W.] Morehouse Sch Med, Dept Microbiol Biochem &amp; Immunol, Atlanta, GA 30310 USA; [Obialo, Chamberlain; Bashir, Khalid] Morehouse Sch Med, Dept Med, Atlanta, GA 30310 USA; [Quarshie, Alexander] Morehouse Sch Med, Clin Res Ctr, Atlanta, GA 30310 USA</t>
  </si>
  <si>
    <t>Morehouse School of Medicine; Morehouse School of Medicine; Morehouse School of Medicine</t>
  </si>
  <si>
    <t>Newman, GW (corresponding author), Morehouse Sch Med, Dept Microbiol Biochem &amp; Immunol, Atlanta, GA 30310 USA.</t>
  </si>
  <si>
    <t>gnewman@msm.edu</t>
  </si>
  <si>
    <t>1687-8639</t>
  </si>
  <si>
    <t>1687-8647</t>
  </si>
  <si>
    <t>10.1155/2018/7863412</t>
  </si>
  <si>
    <t>WOS:000428367700001</t>
  </si>
  <si>
    <t>Mao, WJ; Wen, Y; Lei, HZ; Lu, RG; Wang, SF; Wang, YH; Chen, R; Gu, YY; Zhu, L; Abhange, KK; Quinn, ZJ; Chen, YD; Xue, F; Zheng, MF; Wan, Y</t>
  </si>
  <si>
    <t>Mao, Wenjun; Wen, Yi; Lei, Haozhi; Lu, Rongguo; Wang, Shengfei; Wang, Yuheng; Chen, Ruo; Gu, Yuanyuan; Zhu, Lin; Abhange, Komal K.; Quinn, Zachary J.; Chen, Yundi; Xue, Fei; Zheng, Mingfeng; Wan, Yuan</t>
  </si>
  <si>
    <t>Isolation and Retrieval of Extracellular Vesicles for Liquid Biopsy of Malignant Ground-Glass Opacity</t>
  </si>
  <si>
    <t>LUNG-CANCER; NEVER SMOKERS; EXOSOMES; DNA; KRAS; ADENOCARCINOMAS; HEPARIN</t>
  </si>
  <si>
    <t>Extracellular vesicles (EVs) are cell-released vesicles of submicrometer size. EVs contain a tissue-specific signature wherein a variety of proteins and nucleic acids are selectively packaged. Recent studies validate that EVs can be used for cancer diagnostics, staging, and treatment monitoring. EV-related clinical translation requires effective EV isolation as a prerequisite. However, lengthy procedures, low yield, low throughput, and high levels of contaminants disqualify the existing isolation approaches for large-scale clinical use. Hence, new approaches for rapid, efficient, and low-cost isolation of EVs in high purity for flexible analyses of the diverse contents in real-world clinical settings are highly desired yet are currently unavailable. Here, we report the effective use of heparin/polymer-coated microspheres (HPM) for EV isolation and retrieval. Approximately 81% of EVs can be isolated from plasma in 1 h with depletion of similar to 99.5% plasma protein and nucleic acid contaminants, and 72% of isolated EVs can be retrieved with saline in 5 min for various cargo analyses. This approach was further validated with clinical samples derived from patients with malignant ground-glass opacity (GGO). In eight patients, the mutation concordance between EV DNA and tissue DNA is 39.8%. The prevalence and mutation count of EGFR, TP53, and NF1 are higher than those of other oncogenes and antioncogenes that are intensely associated with lung adenocarcinoma. Moreover, different mutation prevalence and patterns between smokers and nonsmokers can be observed. Our findings suggest that the combination of HPM assay and targeted sequencing of EV DNA could be translated in the differential diagnosis of malignant GGO with short turnaround time.</t>
  </si>
  <si>
    <t>[Mao, Wenjun; Lu, Rongguo; Wang, Shengfei; Chen, Ruo; Zheng, Mingfeng] Nanjing Med Univ, Wuxi Peoples Hosp, Dept Cardiothorac Surg, Wuxi 214023, Jiangsu, Peoples R China; [Wen, Yi; Abhange, Komal K.; Quinn, Zachary J.; Chen, Yundi; Xue, Fei; Wan, Yuan] SUNY Binghamton, Dept Biomed Engn, Pq Lab Micro Nano BiomeDx, Binghamton, NY 13902 USA; [Lei, Haozhi; Wang, Yuheng; Gu, Yuanyuan; Zhu, Lin] PerMed Biomed Inst, Shanghai 201203, Peoples R China</t>
  </si>
  <si>
    <t>Jiangnan University; Nanjing Medical University; State University of New York (SUNY) System; State University of New York (SUNY) Binghamton</t>
  </si>
  <si>
    <t>Zheng, MF (corresponding author), Nanjing Med Univ, Wuxi Peoples Hosp, Dept Cardiothorac Surg, Wuxi 214023, Jiangsu, Peoples R China.;Wan, Y (corresponding author), SUNY Binghamton, Dept Biomed Engn, Pq Lab Micro Nano BiomeDx, Binghamton, NY 13902 USA.</t>
  </si>
  <si>
    <t>ywan@binghamton.edu; zhengmfmedical@126.com</t>
  </si>
  <si>
    <t>Quinn, Zachary/0000-0002-7688-2914</t>
  </si>
  <si>
    <t>10.1021/acs.analchem.9b03064</t>
  </si>
  <si>
    <t>WOS:000495469100055</t>
  </si>
  <si>
    <t>Lai, A; Elfeky, O; Rice, GE; Salomon, C</t>
  </si>
  <si>
    <t>Murthi, P; Vaillancourt, C</t>
  </si>
  <si>
    <t>Lai, Andrew; Elfeky, Omar; Rice, Gregory E.; Salomon, Carlos</t>
  </si>
  <si>
    <t>Optimized Specific Isolation of Placenta-Derived Exosomes from Maternal Circulation</t>
  </si>
  <si>
    <t>PREECLAMPSIA: METHODS AND PROTOCOLS</t>
  </si>
  <si>
    <t>Exosomes; Preeclampsia; Immunoaffinity isolation; Placenta</t>
  </si>
  <si>
    <t>EXTRAVILLOUS TROPHOBLASTS; HLA-G; EXPRESSION; PREGNANCY; CANCER; PLASMA</t>
  </si>
  <si>
    <t>Exosomes are small (similar to 100 nm) vesicles that carry a wide range of molecules including proteins, RNAs, and DNA. Exosomes are secreted from a wide range of cells including placental cells. Interestingly, exosomes secreted from placental cells have been identified in maternal circulation as early as in 6 weeks of gestation, and their concentration increases with the gestational age. While there is growing interest in elucidating the role of exosomes during normal and complicated pregnancies (such as preeclampsia), progress in the field has been delayed because of the inability to isolate placental exosomes from maternal circulation. Therefore, here we describe a workflow to isolate placental exosomes from maternal circulation.</t>
  </si>
  <si>
    <t>[Lai, Andrew; Elfeky, Omar; Rice, Gregory E.; Salomon, Carlos] Univ Queensland, Clin Res Ctr, Royal Brisbane &amp; Womens Hosp, Exosome Biol Lab,Ctr Clin Diagnost, Brisbane, Qld, Australia; [Rice, Gregory E.; Salomon, Carlos] Ochsner Clin Fdn, Dept Obstet &amp; Gynecol, Maternal Fetal Med, New Orleans, LA USA; [Salomon, Carlos] Univ Concepcion, Dept Clin Biochem &amp; Immunol, Fac Pharm, Concepcion, Chile</t>
  </si>
  <si>
    <t>Royal Brisbane &amp; Women's Hospital; University of Queensland; Ochsner Health System; Universidad de Concepcion</t>
  </si>
  <si>
    <t>Lai, A (corresponding author), Univ Queensland, Clin Res Ctr, Royal Brisbane &amp; Womens Hosp, Exosome Biol Lab,Ctr Clin Diagnost, Brisbane, Qld, Australia.</t>
  </si>
  <si>
    <t>Salomon, Carlos F/L-2167-2013; Lai, Andrew/M-2946-2019; Lai, Andrew/S-8920-2016</t>
  </si>
  <si>
    <t>Salomon, Carlos F/0000-0003-4474-0046; Lai, Andrew/0000-0002-4424-8767; Lai, Andrew/0000-0002-4424-8767</t>
  </si>
  <si>
    <t>978-1-4939-7498-6; 978-1-4939-7497-9</t>
  </si>
  <si>
    <t>10.1007/978-1-4939-7498-6_10</t>
  </si>
  <si>
    <t>10.1007/978-1-4939-7498-6</t>
  </si>
  <si>
    <t>Biochemical Research Methods; Biochemistry &amp; Molecular Biology; Genetics &amp; Heredity</t>
  </si>
  <si>
    <t>WOS:000433434600011</t>
  </si>
  <si>
    <t>Tian, QC; He, CJ; Liu, GW; Zhao, YQ; Hui, LL; Mu, Y; Tang, RK; Luo, Y; Zheng, S; Wang, B</t>
  </si>
  <si>
    <t>Tian, Qingchang; He, Chuanjiang; Liu, Guowu; Zhao, Yueqi; Hui, Lanlan; Mu, Ying; Tang, Ruikang; Luo, Yan; Zheng, Shu; Wang, Ben</t>
  </si>
  <si>
    <t>Nanoparticle Counting by Microscopic Digital Detection: Selective Quantitative Analysis of Exosomes via Surface-Anchored Nucleic Acid Amplification</t>
  </si>
  <si>
    <t>METASTATIC NICHE FORMATION; EXTRACELLULAR VESICLES; PANCREATIC-CANCER; MICROFLUIDIC DEVICE; CELL-SURFACE; QUANTIFICATION; PCR; MEMBRANE; PLASMA; DIAGNOSIS</t>
  </si>
  <si>
    <t>Exosomes are nanosized vesicles secreted by cells, with a lipid bilayer membrane and protein and nucleic acid contents. Here, we present the first method for the selective and quantitative analysis of exosomes by digital detection integrated with nucleic acid-based amplification in a microchip. An external biocompatible anchor molecule conjugated with DNA oligonucleotides was anchored in the lipid bilayer membrane of exosomes via surface self-assembly for total exosome analysis. Then, specific antibody-DNA conjugates were applied to label selective exosomes among the total exosomes. The DNA-anchored exosomes were distributed into microchip chambers with one or fewer exosomes per chamber. The signal from the DNA on the exosomes was amplified by a rapid isothermal nucleic acid detection assay. A chamber with an exosome exhibited a positive signal and was recorded as 1, while a chamber without an exosome presented a negative signal and was recorded as 0. The 10100101 digital signals give the number of positive chambers. According to the Poisson distribution, the exosome stock concentration was calculated by the observed fraction of positive chambers. The findings showed that nanoscale particles can be digitally detected via DNA-mediated signal amplification in a microchip with simple microscopic settings. This approach can be integrated with multiple types of established nucleic acid assays and provides a versatile platform for the quantitative detection of various nanosomes, from extracellular vesicles such as exosomes and enveloped viruses to inorganic and organic nanoparticles, and it is expected to have broad applications in basic research areas as well as disease diagnosis and therapy.</t>
  </si>
  <si>
    <t>[Tian, Qingchang; He, Chuanjiang; Liu, Guowu; Hui, Lanlan; Zheng, Shu; Wang, Ben] Zhejiang Univ, Sch Med, Affiliated Hosp 2, Canc Inst,Key Lab Canc Prevent &amp; Intervent,Natl M, Hangzhou 310009, Zhejiang, Peoples R China; [Tian, Qingchang; He, Chuanjiang; Liu, Guowu; Hui, Lanlan; Zheng, Shu; Wang, Ben] Zhejiang Univ, Sch Med, Affiliated Hosp 2, Key Lab Mol Biol Med Sci, Hangzhou 310009, Zhejiang, Peoples R China; [Tian, Qingchang; He, Chuanjiang; Liu, Guowu; Hui, Lanlan; Wang, Ben] Zhejiang Univ, Sch Med, Inst Translat Med, Hangzhou 310029, Zhejiang, Peoples R China; [Luo, Yan] Zhejiang Univ, Sch Med, Coll Biomed Sci, Hangzhou 310058, Zhejiang, Peoples R China; [Mu, Ying] Zhejiang Univ, State Key Lab Ind Control Technol, Inst CyberSyst &amp; Control, Res Ctr Analyt Instrumentat, Hangzhou 310027, Zhejiang, Peoples R China; [Zhao, Yueqi; Tang, Ruikang] Zhejiang Univ, Ctr Biomat &amp; Biopathways, Hangzhou 310027, Zhejiang, Peoples R China; [Zhao, Yueqi; Tang, Ruikang] Zhejiang Univ, Dept Chem, Hangzhou 310027, Zhejiang, Peoples R China</t>
  </si>
  <si>
    <t>Zhejiang University; Zhejiang University; Zhejiang University; Zhejiang University; Zhejiang University; Zhejiang University; Zhejiang University</t>
  </si>
  <si>
    <t>Wang, B (corresponding author), Zhejiang Univ, Sch Med, Affiliated Hosp 2, Canc Inst,Key Lab Canc Prevent &amp; Intervent,Natl M, Hangzhou 310009, Zhejiang, Peoples R China.;Wang, B (corresponding author), Zhejiang Univ, Sch Med, Affiliated Hosp 2, Key Lab Mol Biol Med Sci, Hangzhou 310009, Zhejiang, Peoples R China.;Wang, B (corresponding author), Zhejiang Univ, Sch Med, Inst Translat Med, Hangzhou 310029, Zhejiang, Peoples R China.</t>
  </si>
  <si>
    <t>bwang@zju.edu.cn</t>
  </si>
  <si>
    <t>Wang, Ben/AAE-7987-2021; Wang, Ben/P-4732-2017</t>
  </si>
  <si>
    <t>Wang, Ben/0000-0002-4134-1835; Tang, Ruikang/0000-0001-5277-7338</t>
  </si>
  <si>
    <t>JUN 5</t>
  </si>
  <si>
    <t>10.1021/acs.analchem.8b00189</t>
  </si>
  <si>
    <t>WOS:000434893200034</t>
  </si>
  <si>
    <t>Hao, YX; Li, YM; Ye, M; Guo, YY; Li, QW; Peng, XM; Wang, Q; Zhang, SF; Zhao, HX; Zhang, H; Li, GH; Zhu, JH; Xiao, WH</t>
  </si>
  <si>
    <t>Hao, Yi-Xin; Li, Yong-Mei; Ye, Ming; Guo, Yan-Yan; Li, Qiu-Wen; Peng, Xiu-Mei; Wang, Qi; Zhang, Shu-Fang; Zhao, Hui-Xia; Zhang, He; Li, Guang-Hui; Zhu, Jian-Hua; Xiao, Wen-Hua</t>
  </si>
  <si>
    <t>KRAS and BRAF mutations in serum exosomes from patients with colorectal cancer in a Chinese population</t>
  </si>
  <si>
    <t>Kirsten rat sarcoma viral oncogene homolog; BRAF serine/threonine kinase proto-oncogene; mutation; exosome; colorectal cancer</t>
  </si>
  <si>
    <t>TUMOR-DERIVED EXOSOMES; DIAGNOSTIC BIOMARKERS; CLINICAL-SIGNIFICANCE; OVARIAN-CANCER; NUCLEIC-ACIDS; BLOOD-PLASMA; STOOL DNA; MICRORNAS; CELLS; IDENTIFICATION</t>
  </si>
  <si>
    <t>The efficacy of epidermal growth factor receptor targeted therapy is significantly associated with Kirsten rat sarcoma viral oncogene homolog (KRAS) and B-raf serine/threonine kinase proto-oncogene (BRAE) mutation in patients with colorectal cancer (CRC), for which the standard gene testing is currently performed using tumor tissue DNA. The aim of the present study was to compare the presence of KRAS and BRAE mutations in the serum exosome and primary tumor tissue from patients with CRC Genomic DNA were extracted from the tumor tissues of 35 patients with histologically-confirmed CRC and exosomal mRNA were obtained from peripheral blood, which were collected from the corresponding patients prior to surgery. Three mutations in the KRAS gene (codons 12, 13 and 61) and a mutation in the BRAF gene (codon 600) were detected using a polymerase chain reaction-based sequencing method and their presence were compared between tumor tissues and the matched serum exosomes. The KRAS mutation rates in tumor tissues and the matched serum exosomes were 57.6 and 42.4%, respectively, which was not significantly different (P=0.063). The detection rate of the BRAE mutation was 24.2 and 18.2% in tumor tissues and the matched serum exosomes, respectively, and there was no significant difference (P=0.500). The patients with CRC that had a KRAS mutation of codon 12 in exon 2 in their tumor tissues and serum exosomes were significantly older compared with those without this mutation (tumor tissue, P=0.002; serum exosome, P=0.022). The sensitivity of KRAS and BRAE imitation detection using exosomal mRNA was 73.7 and 75%, respectively. The specificity of the detected mutations exhibited an efficiency of 100%, and the total consistency rate was 94.9 and 93.9% for KRAS and BRAE mutations, respectively. These results suggested that serum exosomal mRNA may be used as a novel source for the rapid and non-invasive genotyping of patients with CRC.</t>
  </si>
  <si>
    <t>[Hao, Yi-Xin; Ye, Ming; Guo, Yan-Yan; Li, Qiu-Wen; Peng, Xiu-Mei; Wang, Qi; Zhang, Shu-Fang; Zhao, Hui-Xia; Zhang, He; Li, Guang-Hui; Zhu, Jian-Hua; Xiao, Wen-Hua] Peoples Liberat Army, Affiliated Hosp 1, Dept Oncol, Gen Hosp, 51 Fucheng Rd, Beijing 100039, Peoples R China; [Li, Yong-Mei] Second Mil Med Univ, Changhai Hosp, Dept Oncol, Shanghai 200433, Peoples R China</t>
  </si>
  <si>
    <t>Chinese People's Liberation Army General Hospital; Naval Medical University</t>
  </si>
  <si>
    <t>Hao, YX; Xiao, WH (corresponding author), Peoples Liberat Army, Affiliated Hosp 1, Dept Oncol, Gen Hosp, 51 Fucheng Rd, Beijing 100039, Peoples R China.</t>
  </si>
  <si>
    <t>15901537871@163.com; w_hxiao@hotmail.com</t>
  </si>
  <si>
    <t>10.3892/ol.2017.5889</t>
  </si>
  <si>
    <t>WOS:000401129800103</t>
  </si>
  <si>
    <t>Grabuschnig, S; Soh, J; Heidinger, P; Bachler, T; Hirschbock, E; Rodriguez, IR; Schwendenwein, D; Sensen, CW</t>
  </si>
  <si>
    <t>Grabuschnig, Stefan; Soh, Jung; Heidinger, Petra; Bachler, Thorsten; Hirschboeck, Elisabeth; Rodriguez, Ingund Rosales; Schwendenwein, Daniel; Sensen, Christoph W.</t>
  </si>
  <si>
    <t>Circulating cell-free DNA is predominantly composed of retrotransposable elements and non-telomeric satellite DNA</t>
  </si>
  <si>
    <t>Circulating nucleic acids; Cell-free DNA; Active release; Retrotransposable elements; Satellite DNA; Exosomes</t>
  </si>
  <si>
    <t>COPY NUMBER ABERRATIONS; STRANDED GENOMIC DNA; PLASMA DNA; CANCER; TRANSCRIPTION; REPLICATION; EVOLUTION; APOPTOSIS; SERUM; TELOMERES</t>
  </si>
  <si>
    <t>Circulating cell-free DNAs (cfDNAs) are DNA fragments which can be isolated from mammalian blood serum or plasma. In order to gain deeper insight into their origin(s), we have characterized the composition of human and cattle cfDNA via large-scale analyses of high-throughput sequencing data. We observed significant differences between the composition of cfDNA in serum/plasma and the corresponding DNA sequence composition of the human genome. Retrotransposable elements and non-telomeric satellite DNA were particularly overrepresented in the cfDNA population, while telomeric satellite DNA was underrepresented. This was consistently observed for human plasma, bovine serum and for the supernatant of human cancer cell cultures. Our results suggest that reverse transcription of retrotransposable elements and secondary-structure formation during the replication of satellite DNA are contributing to the composition of the cfDNA molecules in the mammalian blood stream. We believe that our work is an important step towards the understanding of the biogenesis of cfDNAs and thus may also facilitate the future exploitation of their diagnostic potential.</t>
  </si>
  <si>
    <t>[Grabuschnig, Stefan; Sensen, Christoph W.] Graz Univ Technol, Inst Computat Biotechnol, Petersgasse 14-V, A-8010 Graz, Austria; [Soh, Jung; Sensen, Christoph W.] CNA Diagnost Inc, Suite 300,4838 Richard Rd SW, Calgary, AB T3E 6L1, Canada; [Heidinger, Petra; Bachler, Thorsten; Schwendenwein, Daniel] Acib GmbH, Petersgasse 14, A-8010 Graz, Austria; [Hirschboeck, Elisabeth; Rodriguez, Ingund Rosales; Sensen, Christoph W.] CNA Diagnost GmbH, Parkring 18, A-8074 Grambach, Austria; [Sensen, Christoph W.] BioTechMed Graz, Mozartgasse 12-2, A-8010 Graz, Austria</t>
  </si>
  <si>
    <t>Graz University of Technology; Austrian Centre of Industrial Biotechnology</t>
  </si>
  <si>
    <t>Sensen, CW (corresponding author), Graz Univ Technol, Inst Computat Biotechnol, Petersgasse 14-V, A-8010 Graz, Austria.</t>
  </si>
  <si>
    <t>csensen@tugraz.at</t>
  </si>
  <si>
    <t>Sensen, Christoph W./C-1798-2013; Heidinger (Kofinger), Petra/O-3661-2014</t>
  </si>
  <si>
    <t>Sensen, Christoph W./0000-0001-9604-8962; Heidinger (Kofinger), Petra/0000-0003-3497-1529; Rosales Rodriguez, Ingund/0000-0003-3007-3908; Grabuschnig, Stefan/0000-0001-9303-2981</t>
  </si>
  <si>
    <t>10.1016/j.jbiotec.2020.03.002</t>
  </si>
  <si>
    <t>WOS:000522793800006</t>
  </si>
  <si>
    <t>Picca, A; Beli, R; Calvani, R; Coelho, HJ; Landi, F; Bernabei, R; Bucci, C; Guerra, F; Marzetti, E</t>
  </si>
  <si>
    <t>Picca, Anna; Beli, Raffaella; Calvani, Riccardo; Coelho-Junior, Helio Jose; Landi, Francesco; Bernabei, Roberto; Bucci, Cecilia; Guerra, Flora; Marzetti, Emanuele</t>
  </si>
  <si>
    <t>Older Adults with Physical Frailty and Sarcopenia Show Increased Levels of Circulating Small Extracellular Vesicles with a Specific Mitochondrial Signature</t>
  </si>
  <si>
    <t>aging; biomarkers; mitophagy; mitochondrial dynamics; mitochondrial quality control; mitochondrial-derived vesicles (MDVs); exosomes; mitochondrial-lysosomal axis</t>
  </si>
  <si>
    <t>INFLAMMATION; DNA; RECOMMENDATIONS; ASSOCIATION; PERFORMANCE; DYSFUNCTION; RATIONALE; MORTALITY; PATHWAY; DISEASE</t>
  </si>
  <si>
    <t>Mitochondrial dysfunction and systemic inflammation are major factors in the development of sarcopenia, but the molecular determinants linking the two mechanisms are only partially understood. The study of extracellular vesicle (EV) trafficking may provide insights into this relationship. Circulating small EVs (sEVs) from serum of 11 older adults with physical frailty and sarcopenia (PF&amp;S) and 10 controls were purified and characterized. Protein levels of three tetraspanins (CD9, CD63, and CD81) and selected mitochondrial markers, including adenosine triphosphate 5A (ATP5A), mitochondrial cytochrome C oxidase subunit I (MTCOI), nicotinamide adenine dinucleotide reduced form (NADH):ubiquinone oxidoreductase subunit B8 (NDUFB8), NADH:ubiquinone oxidoreductase subunit S3 (NDUFS3), succinate dehydrogenase complex iron sulfur subunit B (SDHB), and ubiquinol-cytochrome C reductase core protein 2 (UQCRC2) were quantified by Western immunoblotting. Participants with PF&amp;S showed higher levels of circulating sEVs relative to controls. Protein levels of CD9 and CD63 were lower in the sEV fraction of PF&amp;S older adults, while CD81 was unvaried between groups. In addition, circulating sEVs from PF&amp;S participants had lower amounts of ATP5A, NDUFS3, and SDHB. No signal was detected for MTCOI, NDUFB8, or UQCRC2 in either participant group. Our findings indicate that, in spite of increased sEV secretion, lower amounts of mitochondrial components are discarded through EV in older adults with PF&amp;S. In-depth analysis of EV trafficking might open new venues for biomarker discovery and treatment development for PF&amp;S.</t>
  </si>
  <si>
    <t>[Picca, Anna; Calvani, Riccardo; Landi, Francesco; Bernabei, Roberto; Marzetti, Emanuele] Fdn Policlin Univ Agostino Gemelli IRCCS, I-00168 Rome, Italy; [Beli, Raffaella; Bucci, Cecilia; Guerra, Flora] Univ Salento, Dept Biol &amp; Environm Sci &amp; Technol, I-73100 Lecce, Italy; [Coelho-Junior, Helio Jose; Landi, Francesco; Bernabei, Roberto; Marzetti, Emanuele] Univ Cattolica Sacro Cuore, I-00168 Rome, Italy</t>
  </si>
  <si>
    <t>Catholic University of the Sacred Heart; IRCCS Policlinico Gemelli; University of Salento; Catholic University of the Sacred Heart; IRCCS Policlinico Gemelli</t>
  </si>
  <si>
    <t>Calvani, R (corresponding author), Fdn Policlin Univ Agostino Gemelli IRCCS, I-00168 Rome, Italy.;Guerra, F (corresponding author), Univ Salento, Dept Biol &amp; Environm Sci &amp; Technol, I-73100 Lecce, Italy.</t>
  </si>
  <si>
    <t>anna.picca@guest.policlinicogemelli.it; raffaella.beli@unisalento.it; riccardo.calvani@guest.policlinicogemelli.it; coelhojunior@hotmail.com.br; francesco.landi@unicatt.it; roberto.bernabei@unicatt.it; cecilia.bucci@unisalento.it; guerraflora@gmail.com; emanuele.marzetti@policlinicogemelli.it</t>
  </si>
  <si>
    <t>Júnior, Hélio Coelho/AAC-2358-2019; Picca, Anna/K-2305-2018; Guerra, Flora/D-1755-2014; Calvani, Riccardo/K-2011-2018; Guerra, Flora/AFM-8764-2022; Marzetti, Emanuele/A-9430-2010; BUCCI, CECILIA/F-6699-2012</t>
  </si>
  <si>
    <t>Júnior, Hélio Coelho/0000-0001-7482-9514; Picca, Anna/0000-0001-7032-3487; Guerra, Flora/0000-0003-3379-7469; Calvani, Riccardo/0000-0001-5472-2365; Guerra, Flora/0000-0003-3379-7469; Marzetti, Emanuele/0000-0001-9567-6983; BUCCI, CECILIA/0000-0002-6232-6183</t>
  </si>
  <si>
    <t>10.3390/cells9040973</t>
  </si>
  <si>
    <t>WOS:000535559500184</t>
  </si>
  <si>
    <t>Wang, LL; Zeng, LP; Wang, YR; Chen, TT; Chen, WQ; Chen, GY; Li, CY; Chen, JH</t>
  </si>
  <si>
    <t>Wang, Liangliang; Zeng, Lupeng; Wang, Yuru; Chen, Tingting; Chen, Wenqian; Chen, Guanyu; Li, Chunyan; Chen, Jinghua</t>
  </si>
  <si>
    <t>Electrochemical aptasensor based on multidirectional hybridization chain reaction for detection of tumorous exosomes</t>
  </si>
  <si>
    <t>Exosomes; Electrochemical aptasensor; Multidirectional hybridization chain reaction; Cholesterol</t>
  </si>
  <si>
    <t>LABEL-FREE; BIOSENSOR; PROTEIN; RNA; SENSOR</t>
  </si>
  <si>
    <t>Exosomes-based liquid biopsy is an anticipated application, in which high sensitivity detection with good selectivity is an important determinant of assay quality. Herein, we propose an electrochemical aptasensor for the selective and sensitive detection of tumorous exosomes. It is based on multidirectional hybridization chain reaction (mHCR) for signal amplification. The aptamers are first immobilized on gold electrode surface to capture exosomes by binding to the exosomal membrane proteins. After target capture, cholesterol-modified H shape-like DNA unit 1 (cH1) is capable of plunging cholesterol into the exosomal lipid bilayer and anchoring on the exosomal membrane. The mHCR is therefore carried out at cH1 in the presence of H shape-like DNA unit 1 (H1) and H shape-like DNA unit 2 (H2) to form a large DNA nanostructure, which enables to recruit multiple signal molecules for electrochemical signal amplification. Under the optimal conditions, the electrochemical aptasensor exhibits high sensitivity with a low limit of detection (LOD) of 285 exosomes/mu L. In addition, it shows selective discrimination between tumorous and non-tumorous exosomes from cells and serum samples. Overall, the proposed aptasensor shows potential value for exosomes detection in the early diagnosis and screening of cancers.</t>
  </si>
  <si>
    <t>[Wang, Liangliang; Zeng, Lupeng; Wang, Yuru; Chen, Tingting; Chen, Wenqian; Chen, Guanyu; Li, Chunyan; Chen, Jinghua] Fujian Med Univ, Sch Pharm, Fuzhou 350122, Fujian, Peoples R China; [Wang, Liangliang; Zeng, Lupeng; Wang, Yuru; Chen, Tingting; Chen, Wenqian; Chen, Guanyu; Li, Chunyan; Chen, Jinghua] Fujian Med Univ, Sch Pharm, Fujian Key Lab Drug Target Discovery &amp; Struct &amp; F, Fuzhou 350122, Fujian, Peoples R China</t>
  </si>
  <si>
    <t>Fujian Medical University; Fujian Medical University</t>
  </si>
  <si>
    <t>Li, CY; Chen, JH (corresponding author), Fujian Med Univ, Sch Pharm, Fuzhou 350122, Fujian, Peoples R China.</t>
  </si>
  <si>
    <t>cyli65@126.com; cjh_huaxue@126.com</t>
  </si>
  <si>
    <t>APR 1</t>
  </si>
  <si>
    <t>10.1016/j.snb.2021.129471</t>
  </si>
  <si>
    <t>WOS:000618773500010</t>
  </si>
  <si>
    <t>Gutkin, A; Uziel, O; Beery, E; Nordenberg, J; Pinchasi, M; Goldvaser, H; Henick, S; Goldberg, M; Lahav, M</t>
  </si>
  <si>
    <t>Gutkin, Anna; Uziel, Orit; Beery, Einat; Nordenberg, Jardena; Pinchasi, Maria; Goldvaser, Hadar; Henick, Steven; Goldberg, Michal; Lahav, Meir</t>
  </si>
  <si>
    <t>Tumor cells derived exosomes contain hTERT mRNA and transform nonmalignant fibroblasts into telomerase positive cells</t>
  </si>
  <si>
    <t>exosomes; telomerase</t>
  </si>
  <si>
    <t>MEMBRANE-VESICLES; ENDOTHELIAL-CELLS; CANCER CELLS; STEM-CELLS; IN-VITRO; MICROVESICLES; MICROENVIRONMENT; PROLIFERATION; EXPRESSION; INDUCTION</t>
  </si>
  <si>
    <t>Exosomes are small (30-100nm) vesicles secreted from all cell types serving as inter-cell communicators and affecting biological processes in recipient cells upon their uptake. The current study demonstrates for the first time that hTERT mRNA, the transcript of the enzyme telomerase, is shuttled from cancer cells via exosomes into telomerase negative fibroblasts, where it is translated into a fully active enzyme and transforms these cells into telomerase positive, thus creating a novel type of cells; non malignant cells with telomerase activity. All tested telomerase positive cells, including cancer cells and non malignant cells with overexpressed telomerase secreted exosomal hTERT mRNA in accordance with the endogenous levels of their hTERT mRNA and telomerase activity. Similarly exosomes isolated from sera of patients with pancreatic and lung cancer contained hTERT mRNA as well. Telomerase activity induced phenotypic changes in the recipient fibroblasts including increased proliferation, extension of life span and postponement of senescence. In addition, telomerase activity protected the fibroblasts from DNA damage induced by phleomycin and from apoptosis, indicating that also telomerase extracurricular activities are manifested in the recipient cells. The shuttle of telomerase from cancer cells into fibroblasts and the induction of these changes may contribute to the alterations of cancer microenvironment and its role in cancer. The described process has an obvious therapeutic potential which will be explored in further studies.</t>
  </si>
  <si>
    <t>[Gutkin, Anna; Uziel, Orit; Beery, Einat; Nordenberg, Jardena; Pinchasi, Maria; Goldvaser, Hadar; Henick, Steven; Lahav, Meir] Rabin Med Ctr, Felsenstein Med Res Ctr, Petah Tiqwa, Israel; [Uziel, Orit; Nordenberg, Jardena; Pinchasi, Maria; Lahav, Meir] Tel Aviv Univ, Sackler Sch Med, Petah Tiqwa, Israel; [Goldvaser, Hadar] Rabin Med Ctr, Davidoff Canc Ctr, Inst Oncol, Petah Tiqwa, Israel; [Goldberg, Michal] Hebrew Univ Jerusalem, Inst Life Sci, Dept Genet, Petah Tiqwa, Israel; [Lahav, Meir] Rabin Med Ctr, Inst Hematol, Davidoff Canc Ctr, Petah Tiqwa, Israel</t>
  </si>
  <si>
    <t>Rabin Medical Center; Tel Aviv University; Tel Aviv University; Sackler Faculty of Medicine; Rabin Medical Center; Hebrew University of Jerusalem; Rabin Medical Center</t>
  </si>
  <si>
    <t>Lahav, M (corresponding author), Rabin Med Ctr, Felsenstein Med Res Ctr, Petah Tiqwa, Israel.;Lahav, M (corresponding author), Tel Aviv Univ, Sackler Sch Med, Petah Tiqwa, Israel.;Lahav, M (corresponding author), Rabin Med Ctr, Inst Hematol, Davidoff Canc Ctr, Petah Tiqwa, Israel.</t>
  </si>
  <si>
    <t>mlahav@post.tau.ac.il</t>
  </si>
  <si>
    <t>Goldberg, Michal/0000-0001-9397-2383</t>
  </si>
  <si>
    <t>SEP 13</t>
  </si>
  <si>
    <t>10.18632/oncotarget.10384</t>
  </si>
  <si>
    <t>WOS:000387153900034</t>
  </si>
  <si>
    <t>Schwager, SC; Bordeleau, F; Zhang, J; Antonyak, MA; Cerione, RA; Reinhart-King, CA</t>
  </si>
  <si>
    <t>Schwager, Samantha C.; Bordeleau, Francois; Zhang, Jian; Antonyak, Marc A.; Cerione, Richard A.; Reinhart-King, Cynthia A.</t>
  </si>
  <si>
    <t>Matrix stiffness regulates microvesicle-induced fibroblast activation</t>
  </si>
  <si>
    <t>AMERICAN JOURNAL OF PHYSIOLOGY-CELL PHYSIOLOGY</t>
  </si>
  <si>
    <t>cell contractility; extracellular matrix; fibroblast activation; mechano-transduction; traction force</t>
  </si>
  <si>
    <t>BREAST-CANCER CELLS; SMOOTH MUSCLE ACTIN; EXTRACELLULAR VESICLES; MECHANICS; EXOSOMES; MYOFIBROBLAST; PROGRESSION; METASTASIS; RECEPTORS; INTERFACE</t>
  </si>
  <si>
    <t>Extracellular vesicles released by cancer cells have recently been implicated in the differentiation of stromal cells to their activated, cancer-supporting states. Microvesicles, a subset of extracellular vesicles released from the plasma membrane of cancer cells, contain biologically active cargo, including DNA, mRNA. and miRNA, which are transferred to recipient cells and induce a phenotypic change in behavior. While it is known that microvesicles can alter recipient cell phenotype, little is known about how the physical properties of the tumor microenvironment affect fibroblast response to microvesicles. Here, we utilized cancer cell-derived microvesicles and synthetic substrates designed to mimic the stiffness of the tumor and tumor stroma to investigate the effects of microvesicles on fibroblast phenotype as a function of the mechanical properties of the microenvironment. We show that microvesicles released by highly malignant breast cancer cells cause an increase in fibroblast spreading, a-smooth muscle actin expression. proliferation. cell-generated traction force, and collagen gel compaction. Notably, our data indicate that these phenotypic changes occur only on stiff matrices mimicking the stiffness of the tumor periphery and are dependent on the cell type from which the microvesicles are shed. Overall, these results show that the effects of cancer cell-derived microvesicles on fibroblast activation are regulated by the physical properties of the microenvironment, and these data suggest that microvesicles may have a more robust effect on fibroblasts located at the tumor periphery to influence cancer progression.</t>
  </si>
  <si>
    <t>[Schwager, Samantha C.; Bordeleau, Francois; Zhang, Jian; Reinhart-King, Cynthia A.] Vanderbilt Univ, Dept Biomed Engn, PMB 351631, Nashville, TN 37235 USA; [Antonyak, Marc A.; Cerione, Richard A.] Cornell Univ, Dept Biomed Sci, Ithaca, NY USA; [Cerione, Richard A.] Cornell Univ, Dept Chem &amp; Chem Biol, Ithaca, NY USA</t>
  </si>
  <si>
    <t>Vanderbilt University; Cornell University; Cornell University</t>
  </si>
  <si>
    <t>Reinhart-King, CA (corresponding author), Vanderbilt Univ, Dept Biomed Engn, PMB 351631, Nashville, TN 37235 USA.</t>
  </si>
  <si>
    <t>cynthia.reinhart-king@vanderbilt.edu</t>
  </si>
  <si>
    <t>Zhang, Jian/AAP-8929-2020</t>
  </si>
  <si>
    <t>Zhang, Jian/0000-0003-2887-6082</t>
  </si>
  <si>
    <t>0363-6143</t>
  </si>
  <si>
    <t>1522-1563</t>
  </si>
  <si>
    <t>C82</t>
  </si>
  <si>
    <t>C92</t>
  </si>
  <si>
    <t>10.1152/ajpcell.00418.2018</t>
  </si>
  <si>
    <t>Cell Biology; Physiology</t>
  </si>
  <si>
    <t>WOS:000472500500009</t>
  </si>
  <si>
    <t>Liao, SM; Klein, MI; Heim, KP; Fan, YW; Bitoun, JP; Ahn, SJ; Burne, RA; Koo, H; Brady, LJ; Wen, ZZT</t>
  </si>
  <si>
    <t>Liao, Sumei; Klein, Marlise I.; Heim, Kyle P.; Fan, Yuwei; Bitoun, Jacob P.; Ahn, San-Joon; Burne, Robert A.; Koo, Hyun; Brady, L. Jeannine; Wen, Zezhang T.</t>
  </si>
  <si>
    <t>Streptococcus mutans Extracellular DNA Is Upregulated during Growth in Biofilms, Actively Released via Membrane Vesicles, and Influenced by Components of the Protein Secretion Machinery</t>
  </si>
  <si>
    <t>JOURNAL OF BACTERIOLOGY</t>
  </si>
  <si>
    <t>RECOGNITION PARTICLE PATHWAY; GLUCAN-BINDING PROTEINS; MAJOR SURFACE PROTEIN; STRESS TOLERANCE; CELL-WALL; STAPHYLOCOCCUS-AUREUS; ORAL STREPTOCOCCI; VIRULENCE TRAITS; SORTASE; EXPRESSION</t>
  </si>
  <si>
    <t>Streptococcus mutans, a major etiological agent of human dental caries, lives primarily on the tooth surface in biofilms. Limited information is available concerning the extracellular DNA (eDNA) as a scaffolding matrix in S. mutans biofilms. This study demonstrates that S. mutans produces eDNA by multiple avenues, including lysis-independent membrane vesicles. Unlike eDNAs from cell lysis that were abundant and mainly concentrated around broken cells or cell debris with floating open ends, eDNAs produced via the lysis-independent pathway appeared scattered but in a structured network under scanning electron microscopy. Compared to eDNA production of planktonic cultures, eDNA production in 5- and 24-h biofilms was increased by &gt; 3- and &gt;1.6-fold, respectively. The addition of DNase I to growth medium significantly reduced biofilm formation. In an in vitro adherence assay, added chromosomal DNA alone had a limited effect on S. mutans adherence to saliva-coated hydroxylapatite beads, but in conjunction with glucans synthesized using purified glucosyltransferase B, the adherence was significantly enhanced. Deletion of sortase A, the transpeptidase that covalently couples multiple surface-associated proteins to the cell wall peptidoglycan, significantly reduced eDNA in both planktonic and biofilm cultures. Sortase A deficiency did not have a significant effect on membrane vesicle production; however, the protein profile of the mutant membrane vesicles was significantly altered, including reduction of adhesin P1 and glucan-binding proteins B and C. Relative to the wild type, deficiency of protein secretion and membrane protein insertion machinery components, including Ffh, YidC1, and YidC2, also caused significant reductions in eDNA.</t>
  </si>
  <si>
    <t>[Liao, Sumei; Bitoun, Jacob P.; Wen, Zezhang T.] Louisiana State Univ, Hlth Sci Ctr, Sch Dent, Ctr Excellence Oral &amp; Craniofacial Biol, New Orleans, LA 70112 USA; [Klein, Marlise I.] Univ Rochester, Sch Med &amp; Dent, Ctr Oral Biol, Rochester, NY USA; [Heim, Kyle P.; Ahn, San-Joon; Burne, Robert A.; Brady, L. Jeannine] Univ Florida, Dept Oral Biol, Sch Dent, Gainesville, FL 32610 USA; [Fan, Yuwei; Wen, Zezhang T.] Louisiana State Univ, Hlth Sci Ctr, Sch Dent, Dept Comprehens Dent &amp; Biomat, New Orleans, LA USA; [Koo, Hyun] Univ Penn, Sch Dent Med, Dept Orthodont, Philadelphia, PA 19104 USA; [Wen, Zezhang T.] Louisiana State Univ, Hlth Sci Ctr, Sch Med, Dept Microbiol Immunol &amp; Parasitol, New Orleans, LA USA</t>
  </si>
  <si>
    <t>Louisiana State University System; Louisiana State University Health Sciences Center New Orleans; University of Rochester; State University System of Florida; University of Florida; Louisiana State University System; Louisiana State University Health Sciences Center New Orleans; University of Pennsylvania; Louisiana State University System; Louisiana State University Health Sciences Center New Orleans</t>
  </si>
  <si>
    <t>Wen, ZZT (corresponding author), Louisiana State Univ, Hlth Sci Ctr, Sch Dent, Ctr Excellence Oral &amp; Craniofacial Biol, New Orleans, LA 70112 USA.</t>
  </si>
  <si>
    <t>Liao, Sumei/E-6589-2015; Klein, Marlise I/A-2550-2014; Fan, Yuwei/A-2951-2009; Brady, L. Jeannine/P-5059-2019</t>
  </si>
  <si>
    <t>Klein, Marlise I/0000-0002-7916-1557; Fan, Yuwei/0000-0001-8477-8458; Burne, Robert/0000-0002-4234-0316</t>
  </si>
  <si>
    <t>0021-9193</t>
  </si>
  <si>
    <t>1098-5530</t>
  </si>
  <si>
    <t>10.1128/JB.01493-14</t>
  </si>
  <si>
    <t>WOS:000337239900004</t>
  </si>
  <si>
    <t>Wan, Y; Cheng, G; Liu, X; Hao, SJ; Nisic, M; Zhu, CD; Xia, YQ; Li, WQ; Wang, ZG; Zhang, WL; Rice, SJ; Sebastian, A; Albert, I; Belani, CP; Zheng, SY</t>
  </si>
  <si>
    <t>Wan, Yuan; Cheng, Gong; Liu, Xin; Hao, Si-Jie; Nisic, Merisa; Zhu, Chuan-Dong; Xia, Yi-Qiu; Li, Wen-Qing; Wang, Zhi-Gang; Zhang, Wen-Long; Rice, Shawn J.; Sebastian, Aswathy; Albert, Istvan; Belani, Chandra P.; Zheng, Si-Yang</t>
  </si>
  <si>
    <t>Rapid magnetic isolation of extracellular vesicles via lipid-based nanoprobes</t>
  </si>
  <si>
    <t>NATURE BIOMEDICAL ENGINEERING</t>
  </si>
  <si>
    <t>CANCER-CELL ISOLATION; IMMOBILIZED APTAMERS; FE3O4-AT-SIO2 CORE; EXOSOME ISOLATION; SERUM EXOSOMES; LUNG-CANCER; BIOGENESIS; DNA; POPULATIONS; SECRETION</t>
  </si>
  <si>
    <t>Extracellular vesicles (EVs) can mediate intercellular communication by transferring cargo proteins and nucleic acids between cells. The pathophysiological roles and clinical value of EVs are under intense investigation, yet most studies are limited by technical challenges in the isolation of nanoscale EVs (nEVs). Here, we report a lipid-nanoprobe system that enables spontaneous labelling of nEVs for subsequent magnetic enrichment in 15 minutes, with isolation efficiency and cargo composition similar to what can be achieved by the much slower and bulkier method of ultracentrifugation. We also show that this approach allows for downstream analyses of nucleic acids and proteins, enabling the identification of EGFR and KRAS mutations following nEV isolation from the blood plasma of non-small-cell lung-cancer patients. The efficiency and versatility of the lipid-nanoprobe approach opens up opportunities in point-of-care cancer diagnostics.</t>
  </si>
  <si>
    <t>[Wan, Yuan; Cheng, Gong; Hao, Si-Jie; Nisic, Merisa; Zhu, Chuan-Dong; Xia, Yi-Qiu; Li, Wen-Qing; Wang, Zhi-Gang; Zhang, Wen-Long; Zheng, Si-Yang] Penn State Univ, Micro &amp; Nano Integrated Biosyst MINIBio Lab, Dept Biomed Engn, University Pk, PA 16802 USA; [Wan, Yuan; Cheng, Gong; Hao, Si-Jie; Xia, Yi-Qiu; Li, Wen-Qing; Wang, Zhi-Gang; Zhang, Wen-Long; Zheng, Si-Yang] Penn State Univ, Penn State Mat Res Inst, University Pk, PA 16802 USA; [Liu, Xin; Rice, Shawn J.; Belani, Chandra P.] Penn State Univ, Penn State Milton S Hershey Med Ctr, Hershey, PA 17033 USA; [Liu, Xin; Rice, Shawn J.; Belani, Chandra P.] Penn State Univ, Penn State Hershey Canc Inst, 500 Univ Dr, Hershey, PA 17033 USA; [Nisic, Merisa; Albert, Istvan; Zheng, Si-Yang] Penn State Univ, Huck Inst Life Sci, University Pk, PA 16802 USA; [Zhu, Chuan-Dong] Southeast Univ, Med Sch, Hosp Nanjing 2, Nanjing 210003, Jiangsu, Peoples R China; [Sebastian, Aswathy; Albert, Istvan] Penn State Univ, Dept Biochem &amp; Mol Biol, University Pk, PA 16802 USA; [Zheng, Si-Yang] Penn State Univ, Dept Elect Engn, University Pk, PA 16802 USA</t>
  </si>
  <si>
    <t>Pennsylvania Commonwealth System of Higher Education (PCSHE); Pennsylvania State University; Pennsylvania State University - University Park; Pennsylvania Commonwealth System of Higher Education (PCSHE); Pennsylvania State University; Pennsylvania State University - University Park; Pennsylvania Commonwealth System of Higher Education (PCSHE); Pennsylvania State University; Penn State Health; Pennsylvania Commonwealth System of Higher Education (PCSHE); Pennsylvania State University; Penn State Health; Pennsylvania Commonwealth System of Higher Education (PCSHE); Pennsylvania State University; Pennsylvania State University - University Park; Southeast University - China; Pennsylvania Commonwealth System of Higher Education (PCSHE); Pennsylvania State University; Pennsylvania State University - University Park; Pennsylvania Commonwealth System of Higher Education (PCSHE); Pennsylvania State University; Pennsylvania State University - University Park</t>
  </si>
  <si>
    <t>Zheng, SY (corresponding author), Penn State Univ, Micro &amp; Nano Integrated Biosyst MINIBio Lab, Dept Biomed Engn, University Pk, PA 16802 USA.;Zheng, SY (corresponding author), Penn State Univ, Penn State Mat Res Inst, University Pk, PA 16802 USA.;Zheng, SY (corresponding author), Penn State Univ, Huck Inst Life Sci, University Pk, PA 16802 USA.;Zheng, SY (corresponding author), Penn State Univ, Dept Elect Engn, University Pk, PA 16802 USA.</t>
  </si>
  <si>
    <t>sxz10@psu.edu</t>
  </si>
  <si>
    <t>Cheng, Gong/C-4111-2014; Albert, Istvan/J-3734-2015</t>
  </si>
  <si>
    <t>Cheng, Gong/0000-0002-2217-6408; Albert, Istvan/0000-0001-8366-984X</t>
  </si>
  <si>
    <t>2157-846X</t>
  </si>
  <si>
    <t>10.1038/s41551-017-0058</t>
  </si>
  <si>
    <t>Engineering, Biomedical</t>
  </si>
  <si>
    <t>Engineering</t>
  </si>
  <si>
    <t>WOS:000418855100009</t>
  </si>
  <si>
    <t>Balaj, L; Lessard, R; Dai, LX; Cho, YJ; Pomeroy, SL; Breakefield, XO; Skog, J</t>
  </si>
  <si>
    <t>Balaj, Leonora; Lessard, Ryan; Dai, Lixin; Cho, Yoon-Jae; Pomeroy, Scott L.; Breakefield, Xandra O.; Skog, Johan</t>
  </si>
  <si>
    <t>Tumour microvesicles contain retrotransposon elements and amplified oncogene sequences</t>
  </si>
  <si>
    <t>BREAST-CANCER; DIAGNOSTIC BIOMARKERS; REVERSE-TRANSCRIPTASE; HORIZONTAL TRANSFER; ENDOTHELIAL-CELLS; APOPTOTIC BODIES; DOUBLE MINUTES; MESSENGER-RNA; HERV-K; GENE</t>
  </si>
  <si>
    <t>Tumour cells release an abundance of microvesicles containing a selected set of proteins and RNAs. Here, we show that tumour microvesicles also carry DNA, which reflects the genetic status of the tumour, including amplification of the oncogene c-Myc. We also find amplified c-Myc in serum microvesicles from tumour-bearing mice. Further, we find remarkably high levels of retrotransposon RNA transcripts, especially for some human endogenous retroviruses, such as LINE-1 and Alu retrotransposon elements, in tumour microvesicles and these transposable elements could be transferred to normal cells. These findings expand the nucleic acid content of tumour microvesicles to include: elevated levels of specific coding and non-coding RNA and DNA, mutated and amplified oncogene sequences and transposable elements. Thus, tumour microvesicles contain a repertoire of genetic information available for horizontal gene transfer and potential use as blood biomarkers for cancer.</t>
  </si>
  <si>
    <t>[Balaj, Leonora; Lessard, Ryan; Breakefield, Xandra O.; Skog, Johan] Harvard Univ, Sch Med, Dept Neurol, Boston, MA 02129 USA; [Balaj, Leonora; Lessard, Ryan; Breakefield, Xandra O.; Skog, Johan] Harvard Univ, Sch Med, Dept Radiol, Boston, MA 02129 USA; [Balaj, Leonora; Lessard, Ryan; Pomeroy, Scott L.; Breakefield, Xandra O.; Skog, Johan] Massachusetts Gen Hosp, Boston, MA 02129 USA; [Balaj, Leonora; Lessard, Ryan; Pomeroy, Scott L.; Breakefield, Xandra O.; Skog, Johan] Harvard Univ, Sch Med, Neurosci Program, Boston, MA 02129 USA; [Balaj, Leonora] Vrije Univ Amsterdam, Dept Neurosurg, NL-1081 HV Amsterdam, Netherlands; [Dai, Lixin] Johns Hopkins Univ, Sch Med, Dept Mol Biol &amp; Genet, Baltimore, MD 21205 USA; [Dai, Lixin] Johns Hopkins Univ, Sch Med, High Throughput Biol Ctr, Baltimore, MD 21205 USA; [Cho, Yoon-Jae; Pomeroy, Scott L.] Childrens Hosp, Dept Neurol, Boston, MA 02115 USA</t>
  </si>
  <si>
    <t>Harvard University; Harvard University; Harvard University; Massachusetts General Hospital; Harvard University; Vrije Universiteit Amsterdam; Johns Hopkins University; Johns Hopkins University; Harvard University; Boston Children's Hospital</t>
  </si>
  <si>
    <t>Skog, J (corresponding author), Harvard Univ, Sch Med, Dept Neurol, Boston, MA 02129 USA.</t>
  </si>
  <si>
    <t>Skog.Johan@mgh.harvard.edu</t>
  </si>
  <si>
    <t>Balaj, Leonora/0000-0003-0931-9715; Skog, Johan/0000-0002-0926-1691</t>
  </si>
  <si>
    <t>10.1038/ncomms1180</t>
  </si>
  <si>
    <t>WOS:000288225900009</t>
  </si>
  <si>
    <t>Singh, KP; Maremanda, KP; Li, DM; Rahman, I</t>
  </si>
  <si>
    <t>Singh, Kameshwar P.; Maremanda, Krishna P.; Li, Dongmei; Rahman, Irfan</t>
  </si>
  <si>
    <t>Exosomal microRNAs are novel circulating biomarkers in cigarette, waterpipe smokers, E-cigarette users and dual smokers</t>
  </si>
  <si>
    <t>Plasma; Extracellular vesicles; Exosomes; microRNA; E-cig users; Waterpipe smokers; Cigarette smokers</t>
  </si>
  <si>
    <t>TRANSFER-RNA MUTATIONS; EXTRACELLULAR VESICLES; OXIDATIVE STRESS; EPITHELIAL-CELLS; NONCODING RNAS; SMOKING; TOBACCO; MIRNAS; GENES; LIGHT</t>
  </si>
  <si>
    <t>Background Electronic cigarettes (e-cigs) vaping, cigarette smoke, and waterpipe tobacco smoking are associated with various cardiopulmonary diseases. microRNAs are present in higher concentration in exosomes that play an important role in various physiological and pathological functions. We hypothesized that the non-coding RNAs transcript may serve as susceptibility to disease biomarkers by smoking and vaping. Methods Plasma exosomes/EVs from cigarette smokers, waterpipe smokers and dual smokers (cigarette and waterpipe) were characterized for their size, morphology and TEM, Nanosight and immunoblot analysis. Exosomal RNA was used for small RNA library preparation and the library was quantified using the High Sensitivity DNA Analysis on the Agilent 2100 Bioanalyzer system and sequenced using the Illumina NextSeq 500 and were converted to fastq format for mapping genes. Results Enrichment of various non-coding RNAs that include microRNAs, tRNAs, piRNAs, snoRNAs, snRNAs, Mt-tRNAs, and other biotypes are shown in exosomes. A comprehensive differential expression analysis of miRNAs, tRNAs and piRNAs showed significant changes across different pairwise comparisons. The seven microRNAs that were common and differentially expressed of when all the smoking and vaping groups were compared with non-smokers (NS) are hsa-let-7a-5p, hsa-miR-21-5p, hsa-miR-29b-3p, hsa-let-7f-5p, hsa-miR-143-3p, hsa-miR-30a-5p and hsa-let-7i-5p. The e-cig vs. NS group has differentially expressed 5 microRNAs (hsa-miR-224-5p, hsa-miR-193b-3p, hsa-miR-30e-5p, hsa-miR-423-3p, hsa-miR-365a-3p, and hsa-miR-365b-3p), which are not expressed in other three groups. Gene set enrichment analysis of microRNAs showed significant changes in the top six enriched functions that consisted of biological pathway, biological process, molecular function, cellular component, site of expression and transcription factor in all the groups. Further, the pairwise comparison of tRNAs and piRNA in all these groups revealed significant changes in their expressions. Conclusions Plasma exosomes of cigarette smokers, waterpipe smokers, e-cig users and dual smokers have common differential expression of microRNAs which may serve to distinguish smoking and vaping subjects from NS. Among them has-let-7a-5p has high sensitivity and specificity to distinguish NS with the rest of the users, using ROC curve analysis. These findings will pave the way for the utilizing the potential of exosomes/miRNAs as a novel theranostic agents in lung injury and disease caused by tobacco smoking and vaping.</t>
  </si>
  <si>
    <t>[Singh, Kameshwar P.; Maremanda, Krishna P.; Rahman, Irfan] Univ Rochester, Dept Environm Med, Med Ctr, Box 850,601 Elmwood Ave, Rochester, NY 14642 USA; [Li, Dongmei] Univ Rochester, Med Ctr, Dept Clin &amp; Translat Res, Rochester, NY 14642 USA</t>
  </si>
  <si>
    <t>University of Rochester; University of Rochester</t>
  </si>
  <si>
    <t>Rahman, I (corresponding author), Univ Rochester, Dept Environm Med, Med Ctr, Box 850,601 Elmwood Ave, Rochester, NY 14642 USA.</t>
  </si>
  <si>
    <t>irfan_rahman@urmc.rochester.edu</t>
  </si>
  <si>
    <t>Maremanda, Krishna/AAC-7789-2019</t>
  </si>
  <si>
    <t>Maremanda, Krishna/0000-0002-8458-9785</t>
  </si>
  <si>
    <t>10.1186/s12920-020-00748-3</t>
  </si>
  <si>
    <t>WOS:000570655600001</t>
  </si>
  <si>
    <t>Liu, ZH; Wang, HS; Li, JG; Wang, ML; Yang, HX; Si, FC; Kong, JM</t>
  </si>
  <si>
    <t>Liu, Zenghui; Wang, Hesen; Li, Jinge; Wang, Mengli; Yang, Huaixia; Si, Fuchun; Kong, Jinming</t>
  </si>
  <si>
    <t>Detection of exosomes via an electrochemical biosensor based on C60-Au-Tb composite</t>
  </si>
  <si>
    <t>MICROCHEMICAL JOURNAL</t>
  </si>
  <si>
    <t>Exosomes; C60; Biosensing; Electrochemistry</t>
  </si>
  <si>
    <t>NANOPARTICLES; APTASENSOR; DNA; IMMOBILIZATION; SURFACE</t>
  </si>
  <si>
    <t>As a new serum biomarker, the sensitive detection of exosomes is significant for the early diagnosis of diseases. In this paper, a novel electrochemical biosensor for the sensitive detection of exosomes was constructed utilizing a novel C60 hybrid as a tracer. Firstly, the epidermal growth factor receptor (EGFR) antibody was immobilized on the electrode surface via Au-NH2 bonding with Nafion AuNPs substrate. After specific capture of exosomes, C60Au-Tb was grafted onto the surface of exosomes through carboxyl-Zr4+-phosphate chemistry, causing a change in the current signal. Under the optimal conditions, there was a linear relationship between the SWV signal and the logarithm of exosomes concentration from 5 x 104 exosomes/mL to 5 x 109 exosomes/mL, and the detection limit was 2.67 x 104 exosomes/mL. In addition, the biosensor had the advantages of high specificity, strong antiinterference ability, good repeatability, and stability. In conclusion, this method had great potential in diagnosing early cancers associated with exosomes.</t>
  </si>
  <si>
    <t>[Liu, Zenghui; Wang, Hesen; Li, Jinge; Wang, Mengli; Yang, Huaixia] Henan Univ Chinese Med, Pharm Coll, Zhengzhou 450046, Peoples R China; [Si, Fuchun] Henan Univ Chinese Med, Acad Chinese Med Sci, Henan Key Lab TCM Syndrome &amp; Prescript Signaling, Henan Int Joint Lab TCM Syndrome &amp; Prescript Sign, Zhengzhou 450046, Peoples R China; [Kong, Jinming] Nanjing Univ Sci &amp; Technol, Sch Environm &amp; Biol Engn, Nanjing 210094, Peoples R China</t>
  </si>
  <si>
    <t>Henan University of Traditional Chinese Medicine; Henan University of Traditional Chinese Medicine; Nanjing University of Science &amp; Technology</t>
  </si>
  <si>
    <t>Yang, HX (corresponding author), Henan Univ Chinese Med, Pharm Coll, Zhengzhou 450046, Peoples R China.;Si, FC (corresponding author), Henan Univ Chinese Med, Acad Chinese Med Sci, Henan Key Lab TCM Syndrome &amp; Prescript Signaling, Henan Int Joint Lab TCM Syndrome &amp; Prescript Sign, Zhengzhou 450046, Peoples R China.;Kong, JM (corresponding author), Nanjing Univ Sci &amp; Technol, Sch Environm &amp; Biol Engn, Nanjing 210094, Peoples R China.</t>
  </si>
  <si>
    <t>yhx998@hactcm.edu.cn; sifc2000@hotmail.com; j.kong@njust.edu.cn</t>
  </si>
  <si>
    <t>Liu, Zenghui/0000-0001-7773-9995</t>
  </si>
  <si>
    <t>0026-265X</t>
  </si>
  <si>
    <t>1095-9149</t>
  </si>
  <si>
    <t>10.1016/j.microc.2021.106772</t>
  </si>
  <si>
    <t>WOS:000697188400003</t>
  </si>
  <si>
    <t>Imai, T; Takahashi, Y; Nishikawa, M; Kato, K; Morishita, M; Yamashita, T; Matsumoto, A; Charoenviriyakul, C; Takakura, Y</t>
  </si>
  <si>
    <t>Imai, Takafumi; Takahashi, Yuki; Nishikawa, Makiya; Kato, Kana; Morishita, Masaki; Yamashita, Takuma; Matsumoto, Akihiro; Charoenviriyakul, Chonlada; Takakura, Yoshinobu</t>
  </si>
  <si>
    <t>Macrophage-dependent clearance of systemically administered B16BL6-derived exosomes from the blood circulation in mice</t>
  </si>
  <si>
    <t>exosome; Kupffer cell; splenic macrophage; lactadherin; Gaussia luciferase; clearance</t>
  </si>
  <si>
    <t>DEPLETION; VESICLES; CELLS; LIPOSOMES; MECHANISM; DELIVERY; SPLEEN</t>
  </si>
  <si>
    <t>Previous studies using B16BL6-derived exosomes labelled with gLuc-lactadherin (gLuc-LA), a fusion protein of Gaussia luciferase (a reporter protein) and lactadherin (an exosome-tropic protein), showed that the exosomes quickly disappeared from the systemic circulation after intravenous injection in mice. In the present study, the mechanism of rapid clearance of intravenously injected B16BL6 exosomes was investigated. gLuc-LA-labelled exosomes were obtained from supernatant of B16BL6 cells after transfection with a plasmid DNA encoding gLuc-LA. Labelling was stable when the exosomes were incubated in serum. By using B16BL6 exosomes labelled with PKH26, a lipophilic fluorescent dye, it was demonstrated that PKH26-labelled B16BL6 exosomes were taken up by macrophages in the liver and spleen but not in the lung, while PKH26-labelled exosomes were taken up by the endothelial cells in the lung. Subsequently, gLuc-LA-labelled B16BL6 exosomes were injected into macrophage-depleted mice prepared by injection with clodronate-containing liposomes. The clearance of the intravenously injected B16BL6 exosomes from the blood circulation was much slower in macrophage-depleted mice than that in untreated mice. These results indicate that macrophages play important roles in the clearance of intravenously injected B16BL6 exosomes from the systemic circulation.</t>
  </si>
  <si>
    <t>[Imai, Takafumi; Takahashi, Yuki; Nishikawa, Makiya; Kato, Kana; Morishita, Masaki; Yamashita, Takuma; Matsumoto, Akihiro; Charoenviriyakul, Chonlada; Takakura, Yoshinobu] Kyoto Univ, Grad Sch Pharmaceut Sci, Dept Biopharmaceut &amp; Drug Metab, Kyoto 6068501, Japan</t>
  </si>
  <si>
    <t>Takakura, Y (corresponding author), Kyoto Univ, Grad Sch Pharmaceut Sci, Dept Biopharmaceut &amp; Drug Metab, Kyoto 6068501, Japan.</t>
  </si>
  <si>
    <t>takakura@pharm.kyoto-u.ac.jp</t>
  </si>
  <si>
    <t>Morishita, Masaki/0000-0002-3004-3779; Takahashi, Yuki/0000-0002-8772-2772</t>
  </si>
  <si>
    <t>10.3402/jev.v4.26238</t>
  </si>
  <si>
    <t>WOS:000365073700001</t>
  </si>
  <si>
    <t>Pavanello, S; Bonzini, M; Angelici, L; Motta, V; Pergoli, L; Hoxha, M; Cantone, L; Pesatori, AC; Apostoli, P; Tripodi, A; Baccarelli, A; Bollati, V</t>
  </si>
  <si>
    <t>Pavanello, Sofia; Bonzini, Matteo; Angelici, Laura; Motta, Valeria; Pergoli, Laura; Hoxha, Mirjam; Cantone, Laura; Pesatori, Angela Cecilia; Apostoli, Pietro; Tripodi, Armando; Baccarelli, Andrea; Bollati, Valentina</t>
  </si>
  <si>
    <t>Extracellular vesicle-driven information mediates the long-term effects of particulate matter exposure on coagulation and inflammation pathways</t>
  </si>
  <si>
    <t>TOXICOLOGY LETTERS</t>
  </si>
  <si>
    <t>Particulate air pollution (PM); Extracellular vesicles (EVs); microRNAs; EV-encapsulated microRNAs (EVmiRNAs); Cardiorespiratory diseases (CRD); Type 2 diabetes (T2D); Inflammation; Coagulation</t>
  </si>
  <si>
    <t>PROTEIN-KINASE-C; AIR-POLLUTION; CARDIOVASCULAR-DISEASE; MICRORNA EXPRESSION; AMBIENT PARTICLES; FOUNDRY WORKERS; DNA METHYLATION; MORTALITY; RISK; MICROVESICLES</t>
  </si>
  <si>
    <t>Background: Continuous exposure to particulate air pollution (PM) is a serious worldwide threat to public health as it coherently links with increased morbidity and mortality of cardiorespiratory diseases (CRD), and of type 2 diabetes (T2D). Extracellular vesicles (EVs) are circular plasma membrane fragments released from human cells that transfer microRNAs between tissues. In the present work it was explored the hypothesis that EVs with their encapsulated microRNAs (EVmiRNAs) contents might mediate PM effects by triggering key pathways in CRD and T2D. Methods: Expression of EVmiRNAs analyzed by real-time PCR was correlated with oxidative stress, coagulation and inflammation markers, from healthy steel plant workers (n = 55) with a well characterized exposure to PM and PM-associated metals. All p-values were adjusted for multiple comparisons. In-silico Ingenuity Pathway Analysis (IPA) was performed to identify biological pathways regulated by PM-associated EVmiRNAs. Results: Increased expression in 17 EVmiRNAs is associated with PM and metal exposure (p &lt; 0.01). Mir-196b that tops the list, being related to 9 different metals, is fundamental in insulin biosynthesis, however three (miR-302b, miR-200c, miR-30d) out of these 17 EVmiRNAs are in turn also related to disruptions (p &lt;0.01) in inflammatory and coagulation markers. Conclusions: The study's findings support the hypothesis that adverse cardiovascular and metabolic effects stemming from inhalation exposures in particular to PM metallic component may be mediated by EVmiRNAs that target key factors in the inflammation, coagulation and glucose homeostasis pathways. (C) 2016 Elsevier Ireland Ltd. All rights reserved.</t>
  </si>
  <si>
    <t>[Pavanello, Sofia] Univ Padua, Dept Cardiac Thorac &amp; Vasc Sci, Occupat Med, I-35128 Padua, Italy; [Bonzini, Matteo; Angelici, Laura; Motta, Valeria; Pergoli, Laura; Hoxha, Mirjam; Cantone, Laura; Pesatori, Angela Cecilia; Bollati, Valentina] Univ Milan, EPIGET Epidemiol Epigenet &amp; Toxicol Lab, Dept Clin Sci &amp; Community Hlth, Milan, Italy; [Bonzini, Matteo; Pesatori, Angela Cecilia; Bollati, Valentina] Fdn IRCCS Ca Granda Osped Maggiore Policlin, Dept Prevent Med, Epidemiol Unit, Milan, Italy; [Apostoli, Pietro] Univ Brescia, Dept Expt &amp; Appl Med, Occupat Med &amp; Ind Hyg, I-25123 Brescia, Italy; [Tripodi, Armando] Univ Milan, Dept Clin Sci &amp; Community Hlth, Angelo Bianchi Bonomi Haemophilia &amp; Thrombosis Ct, I-20122 Milan, Italy; [Tripodi, Armando] IRCCS Maggiore Hosp Fdn, I-20122 Milan, Italy; [Baccarelli, Andrea] Columbia Mailman Sch Publ Hlth, Dept Environm Hlth Sci, New York, NY 10032 USA</t>
  </si>
  <si>
    <t>University of Padua; University of Milan; IRCCS Ca Granda Ospedale Maggiore Policlinico; University of Brescia; University of Milan</t>
  </si>
  <si>
    <t>Pavanello, S (corresponding author), Univ Padua, Dept Cardiac Thorac &amp; Vasc Sci, Unit Occupat Med, Via Giustiniani 2, I-35128 Padua, Italy.</t>
  </si>
  <si>
    <t>sofia.pavanello@unipd.it</t>
  </si>
  <si>
    <t>Stefanadis, Christodoulos/ABH-2232-2020; Angelici, Laura/AAC-2633-2019; pesatori, angela/K-5742-2016; Pergoli, Laura/I-5592-2015; Cantone, Laura/K-9516-2016</t>
  </si>
  <si>
    <t>Stefanadis, Christodoulos/0000-0001-5974-6454; Pavanello, Sofia/0000-0002-5229-9900; pesatori, angela/0000-0002-0261-3252; Pergoli, Laura/0000-0002-4710-198X; Cantone, Laura/0000-0003-3660-129X; Angelici, Laura/0000-0003-3731-1606; Bollati, Valentina/0000-0002-0370-9598</t>
  </si>
  <si>
    <t>0378-4274</t>
  </si>
  <si>
    <t>1879-3169</t>
  </si>
  <si>
    <t>SEP 30</t>
  </si>
  <si>
    <t>10.1016/j.toxlet.2016.08.002</t>
  </si>
  <si>
    <t>Toxicology</t>
  </si>
  <si>
    <t>WOS:000385332000017</t>
  </si>
  <si>
    <t>Ibn Sina, A; Lin, TY; Vaidyanathan, R; Wang, ZR; Dey, S; Wang, J; Behren, A; Wuethrich, A; Carrascosa, LG; Trau, M</t>
  </si>
  <si>
    <t>Ibn Sina, Abu Ali; Lin, Ting-Yun; Vaidyanathan, Ramanathan; Wang, Zhaoran; Dey, Shuvashis; Wang, Jing; Behren, Andreas; Wuethrich, Alain; Carrascosa, Laura G.; Trau, Matt</t>
  </si>
  <si>
    <t>Methylation dependent gold adsorption behaviour identifies cancer derived extracellular vesicular DNA</t>
  </si>
  <si>
    <t>NANOSCALE HORIZONS</t>
  </si>
  <si>
    <t>NUCLEIC-ACIDS; VESICLES; EXOSOMES; QUANTIFICATION; REJECTION</t>
  </si>
  <si>
    <t>Extracellular vesicles (EV) play a major role in intercellular communication by transmitting cellular materials (e.g. protein, RNA) among distant cells. Recent evidence suggests that they could also contribute to carrying DNA which could inform on the mutational status of the parent tumour DNA. Thus, the fundamental analysis of evDNA could open a better understanding of tumour metastasis and provide new pathways for noninvasive detection and monitoring of cancer. To explore the potential of evDNA for diagnostics, the isolation of pure evDNA from body fluids free of cfDNA contamination is crucial. Herein, we use a liposome based model system to develop an improved evDNA isolation protocol free from cfDNA contamination and evaluate the methylation dependent physicochemical properties of evDNA to develop a simple test for detecting cancer evDNA. Using a highly sensitive multiplex micro-electrode device, we demonstrate that serum-evDNA derived from cancer patients show different solution and surface based properties than normal evDNA due to their different methylation landscape (i.e. methylscape). This microdevice allows simultaneous analysis of multiple samples in a single platform from as low as 500 pg mu L-1 of evDNA.</t>
  </si>
  <si>
    <t>[Ibn Sina, Abu Ali; Lin, Ting-Yun; Vaidyanathan, Ramanathan; Wang, Zhaoran; Dey, Shuvashis; Wang, Jing; Wuethrich, Alain; Carrascosa, Laura G.; Trau, Matt] Univ Queensland, Ctr Personalised Nanomed, Australian Inst Bioengn &amp; Nanotechnol AIBN, Brisbane, Qld 4072, Australia; [Behren, Andreas] La Trobe Sch Canc Med, Olivia Newton John Canc Res Inst, Heidelberg, Vic, Australia; [Trau, Matt] Univ Queensland, Sch Chem &amp; Mol Biosci, Brisbane, Qld 4072, Australia; [Vaidyanathan, Ramanathan] Univ New South Wales, Sch Chem, Sydney, NSW 2052, Australia</t>
  </si>
  <si>
    <t>University of Queensland; La Trobe University; Olivia Newton-John Cancer Research Institute; University of Queensland; University of New South Wales Sydney</t>
  </si>
  <si>
    <t>Carrascosa, LG; Trau, M (corresponding author), Univ Queensland, Ctr Personalised Nanomed, Australian Inst Bioengn &amp; Nanotechnol AIBN, Brisbane, Qld 4072, Australia.;Trau, M (corresponding author), Univ Queensland, Sch Chem &amp; Mol Biosci, Brisbane, Qld 4072, Australia.</t>
  </si>
  <si>
    <t>lgcarrascosa@uq.edu.au; m.trau@uq.edu.au</t>
  </si>
  <si>
    <t>Wang, Jing/AAY-5150-2020</t>
  </si>
  <si>
    <t>Wang, Jing/0000-0001-6080-7998; DEY, SHUVASHIS/0000-0003-3180-6202; Trau, Matt/0000-0001-5516-1280; Sina, Abu Ali Ibn/0000-0001-8099-3863; Behren, Andreas/0000-0001-5329-280X</t>
  </si>
  <si>
    <t>2055-6756</t>
  </si>
  <si>
    <t>2055-6764</t>
  </si>
  <si>
    <t>10.1039/d0nh00258e</t>
  </si>
  <si>
    <t>Chemistry, Physical; Nanoscience &amp; Nanotechnology; Materials Science, Multidisciplinary</t>
  </si>
  <si>
    <t>WOS:000562279500008</t>
  </si>
  <si>
    <t>Nath, S; Roychoudhury, S; Kling, MJ; Song, HY; Biswas, P; Shukla, A; Band, H; Joshi, S; Bhakat, KK</t>
  </si>
  <si>
    <t>Nath, Somsubhra; Roychoudhury, Shrabasti; Kling, Matthew J.; Song, Heyu; Biswas, Pranjal; Shukla, Ashima; Band, Hamid; Joshi, Shantaram; Bhakat, Kishor K.</t>
  </si>
  <si>
    <t>The extracellular role of DNA damage repair protein APE1 in regulation of IL-6 expression</t>
  </si>
  <si>
    <t>CELLULAR SIGNALLING</t>
  </si>
  <si>
    <t>Apurinic/apyrimidinic endonuclease 1 (APE1); Secretion; Lipopolysaccharide (LPS); Interleukin 6 (IL-6); NF-kappa B (NE-kappa B)</t>
  </si>
  <si>
    <t>MARROW STROMAL CELLS; Y-BOX PROTEIN-1; SECRETORY PATHWAY; ENDONUCLEASE APE1/REF-1; EXOSOMES; BIOGENESIS; VESICLES; HMGB1; MICROVESICLES; LOCALIZATION</t>
  </si>
  <si>
    <t>The human apurinic/apyrimidinic endonuclease 1 (APE1) is a pleiotropic nuclear protein with roles in DNA base excision repair pathway as well as in regulation of transcription. Recently, the presence of extracellular plasma APE1 was reported in endotoxemic rats. However, the biological significance and the extracellular function of APE1 remain unclear. In this study, we found that monocytes secrete APE1 upon inflammatory challenges. Challenging the monocytic cells with extracellular APE1 resulted in the increased expression and secretion of the pro-inflammatory cytokine IL-6. Additionally, the extracellular APE1 treatment activated the transcription factor NF-kappa B, followed by its increased occupancy at the IL-6 promoter, resulting in the induction of IL-6 expression. APE1-induced IL-6 further served to elicit autocrine and paracrine cellular responses. Moreover, the extracellular IL-6 promoted the secretion of APE1, thus indicating a functional feedforward loop in this pathway. Furthermore, we show that APE1 is secreted through extracellular vesicles formation via endosomal sorting complex required for transport (ESCRT)-dependent pathway. Together, our study demonstrates a novel role of extracellular APEI in IL-6-dependent cellular responses.</t>
  </si>
  <si>
    <t>[Nath, Somsubhra; Roychoudhury, Shrabasti; Kling, Matthew J.; Song, Heyu; Biswas, Pranjal; Shukla, Ashima; Band, Hamid; Joshi, Shantaram; Bhakat, Kishor K.] Univ Nebraska Med Ctr, Dept Genet Cell Biol &amp; Anat, Omaha, NE 68198 USA; [Band, Hamid] Univ Nebraska Med Ctr, Eppley Inst Res Canc, Omaha, NE USA; [Band, Hamid; Bhakat, Kishor K.] Univ Nebraska Med Ctr, Fred &amp; Pamela Buffett Canc Ctr, Omaha, NE USA</t>
  </si>
  <si>
    <t>University of Nebraska System; University of Nebraska Medical Center; University of Nebraska System; University of Nebraska Medical Center; University of Nebraska System; University of Nebraska Medical Center</t>
  </si>
  <si>
    <t>Bhakat, KK (corresponding author), Univ Nebraska Med Ctr, Dept Genet Cell Biol &amp; Anat, Omaha, NE 68198 USA.</t>
  </si>
  <si>
    <t>kishor.bhakat@unmc.edu</t>
  </si>
  <si>
    <t>Joshi, Sudhanshu/L-2284-2019; Biswas, Pranjal/AGG-8515-2022; Band, Hamid/AAF-4701-2020; Nath, Somsubhra/AAL-6377-2020</t>
  </si>
  <si>
    <t>Joshi, Sudhanshu/0000-0003-4748-5001; Biswas, Pranjal/0000-0003-4173-4214; Nath, Somsubhra/0000-0001-8214-1218</t>
  </si>
  <si>
    <t>0898-6568</t>
  </si>
  <si>
    <t>1873-3913</t>
  </si>
  <si>
    <t>10.1016/j.cellsig.2017.07.019</t>
  </si>
  <si>
    <t>WOS:000412616600003</t>
  </si>
  <si>
    <t>Bruno, DCF; Donatti, A; Martin, M; Almeida, VS; Geraldis, JC; Oliveira, FS; Dogini, DB; Lopes-Cendes, I</t>
  </si>
  <si>
    <t>Bruno, D. C. F.; Donatti, A.; Martin, M.; Almeida, V. S.; Geraldis, J. C.; Oliveira, F. S.; Dogini, D. B.; Lopes-Cendes, I</t>
  </si>
  <si>
    <t>Circulating nucleic acids in the plasma and serum as potential biomarkers in neurological disorders</t>
  </si>
  <si>
    <t>BRAZILIAN JOURNAL OF MEDICAL AND BIOLOGICAL RESEARCH</t>
  </si>
  <si>
    <t>Circulating nucleic acids; Neurological disorders; Cell-free DNA; Cell-free RNA; Biomarker; CNAs</t>
  </si>
  <si>
    <t>CELL-FREE DNA; AMYOTROPHIC-LATERAL-SCLEROSIS; LONG NONCODING RNAS; MITOCHONDRIAL-DNA; EXTRACELLULAR VESICLES; MOLECULAR BIOMARKERS; FREE MICRORNAS; BLOOD; DIAGNOSIS; DISEASE</t>
  </si>
  <si>
    <t>Neurological diseases are responsible for approximately 6.8 million deaths every year. They affect up to 1 billion people worldwide and cause significant disability and reduced quality of life. In most neurological disorders, the diagnosis can be challenging; it frequently requires long-term investigation. Thus, the discovery of better diagnostic methods to help in the accurate and fast diagnosis of neurological disorders is crucial. Circulating nucleic acids (CNAs) are defined as any type of DNA or RNA that is present in body biofluids. They can be found within extracellular vesicles or as cell-free DNA and RNA. Currently, CNAs are being explored as potential biomarkers for diseases because they can be obtained using non-invasive methods and may reflect unique characteristics of the biological processes involved in several diseases. CNAs can be especially useful as biomarkers for conditions that involve organs or structures that are difficult to assess, such as the central nervous system. This review presents a critical assessment of the most current literature about the use of plasma and serum CNAs as biomarkers for several aspects of neurological disorders: defining a diagnosis, establishing a prognosis, and monitoring the disease progression and response to therapy. We explored the biological origin, types, and general mechanisms involved in the generation of CNAs in physiological and pathological processes, with specific attention to neurological disorders. In addition, we present some of the future applications of CNAs as non-invasive biomarkers for these diseases.</t>
  </si>
  <si>
    <t>[Bruno, D. C. F.; Donatti, A.; Martin, M.; Almeida, V. S.; Geraldis, J. C.; Oliveira, F. S.; Dogini, D. B.; Lopes-Cendes, I] Univ Estadual Campinas, Fac Ciencias Med, Dept Genet Med &amp; Med Genom, Campinas, SP, Brazil; [Bruno, D. C. F.; Donatti, A.; Martin, M.; Almeida, V. S.; Geraldis, J. C.; Oliveira, F. S.; Dogini, D. B.; Lopes-Cendes, I] Inst Brasileiro Neurociencia &amp; Neurotecnol, Campinas, SP, Brazil</t>
  </si>
  <si>
    <t>Universidade Estadual de Campinas</t>
  </si>
  <si>
    <t>Lopes-Cendes, I (corresponding author), Univ Estadual Campinas, Fac Ciencias Med, Dept Genet Med &amp; Med Genom, Campinas, SP, Brazil.;Lopes-Cendes, I (corresponding author), Inst Brasileiro Neurociencia &amp; Neurotecnol, Campinas, SP, Brazil.</t>
  </si>
  <si>
    <t>icendes@unicamp.br</t>
  </si>
  <si>
    <t>Dogini, Danyella B/A-4520-2013; Dogini, Danyella/AAC-4900-2021; Bruno, Danielle C.F./V-3934-2017; Donatti, Amanda/F-4117-2018</t>
  </si>
  <si>
    <t>Dogini, Danyella B/0000-0002-0757-3982; Dogini, Danyella/0000-0002-0757-3982; Donatti, Amanda/0000-0002-0535-3724; Cruz Geraldis, Jaqueline/0000-0003-2188-6624; Almeida, Vanessa/0000-0003-4869-8332; Martin, Mariana/0000-0002-3160-4515; dos Santos Oliveira, Fabiana/0000-0003-2154-6523; Lopes-Cendes, Iscia/0000-0002-6221-6822; Bruno, Danielle do Carmo Ferreira/0000-0003-1153-334X</t>
  </si>
  <si>
    <t>0100-879X</t>
  </si>
  <si>
    <t>1414-431X</t>
  </si>
  <si>
    <t>e9881</t>
  </si>
  <si>
    <t>10.1590/1414-431X20209881</t>
  </si>
  <si>
    <t>WOS:000563049700001</t>
  </si>
  <si>
    <t>Chen, TY; Gonzalez-Kozlova, E; Soleymani, T; La Salvia, S; Kyprianou, N; Sahoo, S; Tewari, AK; Cordon-Cardo, C; Stolovitzky, G; Dogra, N</t>
  </si>
  <si>
    <t>Chen, Tzu-Yi; Gonzalez-Kozlova, Edgar; Soleymani, Taliah; La Salvia, Sabrina; Kyprianou, Natasha; Sahoo, Susmita; Tewari, Ashutosh K.; Cordon-Cardo, Carlos; Stolovitzky, Gustavo; Dogra, Navneet</t>
  </si>
  <si>
    <t>Extracellular vesicles carry distinct proteo-transcriptomic signatures that are different from their cancer cell of origin</t>
  </si>
  <si>
    <t>ISCIENCE</t>
  </si>
  <si>
    <t>EXOSOMES; REVEALS; SECRETION; CARRIERS; RNAS</t>
  </si>
  <si>
    <t>Circulating extracellular vesicles (EVs) contain molecular footprints-lipids, proteins, RNA, and DNA-from their cell of origin. Consequently, EV-associated RNA and proteins have gained widespread interest as liquid-biopsy biomarkers. Yet, an integrative proteo-transcriptomic landscape of EVs and comparison with their cell of origin remains obscure. Here, we report that EVs enrich distinct proteo-transcriptome that does not linearly correlate with their cell of origin. We show that EVs enrich endosomal and extracellular proteins, small RNA (similar to 13-200 nucleotides) associated with cell differentiation, development, and Wnt signaling. EVs cargo specific RNAs (RNY3, vtRNA, and MIRLET-7) and their complementary proteins (YBX1, IGF2BP2, and SRSF1/2). To ensure an unbiased and independent analyses, we studied 12 cancer cell lines, matching EVs (inhouse and exRNA database), and serum EVs of patients with prostate cancer. Together, we show that EV-RNA-protein complexes may constitute a functional interaction network to protect and regulate molecular access until a function is achieved.</t>
  </si>
  <si>
    <t>[Chen, Tzu-Yi; Soleymani, Taliah; Cordon-Cardo, Carlos; Dogra, Navneet] Icahn Sch Med Mt Sinai, Dept Pathol, New York, NY 10029 USA; [Chen, Tzu-Yi; Gonzalez-Kozlova, Edgar; Soleymani, Taliah; Cordon-Cardo, Carlos; Stolovitzky, Gustavo; Dogra, Navneet] Icahn Sch Med Mt Sinai, Dept Genet &amp; Genom Sci, New York, NY 10029 USA; [Gonzalez-Kozlova, Edgar; Kyprianou, Natasha; Tewari, Ashutosh K.; Cordon-Cardo, Carlos] Icahn Sch Med Mt Sinai, Dept Oncol Sci, New York, NY 10029 USA; [La Salvia, Sabrina; Sahoo, Susmita] Icahn Sch Med Mt Sinai, Dept Cardiol, New York, NY 10029 USA; [Kyprianou, Natasha; Tewari, Ashutosh K.] Icahn Sch Med Mt Sinai, Dept Urol, New York, NY 10029 USA; [Stolovitzky, Gustavo; Dogra, Navneet] IBM TJ Watson Res Ctr, Yorktown Hts, NY 10598 USA; [Stolovitzky, Gustavo] Sema4, Stamford, CT 06902 USA</t>
  </si>
  <si>
    <t>Icahn School of Medicine at Mount Sinai; Icahn School of Medicine at Mount Sinai; Icahn School of Medicine at Mount Sinai; Icahn School of Medicine at Mount Sinai; Icahn School of Medicine at Mount Sinai; International Business Machines (IBM)</t>
  </si>
  <si>
    <t>Dogra, N (corresponding author), Icahn Sch Med Mt Sinai, Dept Pathol, New York, NY 10029 USA.;Dogra, N (corresponding author), Icahn Sch Med Mt Sinai, Dept Genet &amp; Genom Sci, New York, NY 10029 USA.;Dogra, N (corresponding author), IBM TJ Watson Res Ctr, Yorktown Hts, NY 10598 USA.</t>
  </si>
  <si>
    <t>navneet.dogra@mssm.edu</t>
  </si>
  <si>
    <t>Dogra, Navneet/0000-0002-4602-3991; Gonzalez Kozlova, Edgar Ernesto/0000-0002-6948-0626; Soleymani, Taliah/0000-0003-3732-0334</t>
  </si>
  <si>
    <t>2589-0042</t>
  </si>
  <si>
    <t>JUN 17</t>
  </si>
  <si>
    <t>10.1016/j.isci.2022.104414</t>
  </si>
  <si>
    <t>WOS:000809645900003</t>
  </si>
  <si>
    <t>Mangiapane, G; Parolini, I; Conte, K; Malfatti, MC; Corsi, J; Sanchez, M; Pietrantoni, A; D'Agostino, VG; Tell, G</t>
  </si>
  <si>
    <t>Mangiapane, Giovanna; Parolini, Isabella; Conte, Kristel; Malfatti, Matilde Clarissa; Corsi, Jessica; Sanchez, Massimo; Pietrantoni, Agostina; D'Agostino, Vito G.; Tell, Gianluca</t>
  </si>
  <si>
    <t>Enzymatically active apurinic/apyrimidinic endodeoxyribonuclease 1 is released by mammalian cells through exosomes</t>
  </si>
  <si>
    <t>BASE EXCISION-REPAIR; AP-ENDONUCLEASE APE1/REF-1; HUMAN ABASIC ENDONUCLEASE; DNA-REPAIR; BIOGENESIS; DAMAGE; ACETYLATION; EXPRESSION; VESICLES; RESIDUES</t>
  </si>
  <si>
    <t>The apurinic/apyrimidinic endodeoxyribonuclease 1 (APE1), the main AP-endonuclease of the DNA base excision repair pathway, is a key molecule of interest to researchers due to its unsuspected roles in different nonrepair activities, such as: i) adaptive cell response to genotoxic stress, ii) regulation of gene expression, and iii) processing of microRNAs, which make it an excellent drug target for cancer treatment. We and others recently demonstrated that APE1 can be secreted in the extracellular environment and that serum APE1 may represent a novel prognostic biomarker in hepatocellular and non-small-cell lung cancers. However, the mechanism by which APE1 is released extracellularly was not described before. Here, using three different approaches for exosomes isolation: commercial kit, nickel-based isolation, and ultracentrifugation methods and various mammalian cell lines, we elucidated the mechanisms responsible for APE1 secretion. We demonstrated that APE1 p37 and p33 forms are actively secreted through extra-cellular vesicles (EVs), including exosomes from different mammalian cell lines. We then observed that APE1 p33 form is generated by proteasomal-mediated degradation and is enzymatically active in EVs. Finally, we revealed that the p33 form of APE1 accumulates in EVs upon genotoxic treatment by cisplatin and doxorubicin, compounds commonly found in chemotherapy pharmacological treatments. Taken together, these findings provide for the first time evidence that a functional Base Excision Repair protein is delivered through exosomes in response to genotoxic stresses, shedding new light into the complex noncanonical biological functions of APE1 and opening new intriguing perspectives on its role in cancer biology.</t>
  </si>
  <si>
    <t>[Mangiapane, Giovanna; Conte, Kristel; Malfatti, Matilde Clarissa; Tell, Gianluca] Univ Udine, Dept Med DAME, Lab Mol Biol &amp; DNA Repair, Udine, Italy; [Parolini, Isabella] Ist Super Sanita, Dept Oncol &amp; Mol Med, Rome, Italy; [Corsi, Jessica; D'Agostino, Vito G.] Univ Trento, Dept Cellular Computat &amp; Integrat Biol CIBIO, Trento, Italy; [Sanchez, Massimo; Pietrantoni, Agostina] Ist Super Sanita, Core Facil, Rome, Italy</t>
  </si>
  <si>
    <t>University of Udine; Istituto Superiore di Sanita (ISS); University of Trento; Istituto Superiore di Sanita (ISS)</t>
  </si>
  <si>
    <t>Tell, G (corresponding author), Univ Udine, Dept Med DAME, Lab Mol Biol &amp; DNA Repair, Udine, Italy.</t>
  </si>
  <si>
    <t>gianluca.tell@uniud.it</t>
  </si>
  <si>
    <t>parolini, Isabella/J-9955-2016; Pietrantoni, Agostina/ABA-6900-2021</t>
  </si>
  <si>
    <t>parolini, Isabella/0000-0001-9863-1051; Pietrantoni, Agostina/0000-0002-1121-4464; D'AGOSTINO, VITO/0000-0003-3379-2254; Tell, Gianluca/0000-0001-8845-6448; Sanchez, Massimo/0000-0003-3696-7582; Mangiapane, Giovanna/0000-0001-6633-0481; MALFATTI, MATILDE CLARISSA/0000-0002-8101-568X</t>
  </si>
  <si>
    <t>JAN-JUN</t>
  </si>
  <si>
    <t>10.1016/j.jbc.2021.100569</t>
  </si>
  <si>
    <t>WOS:000672866400542</t>
  </si>
  <si>
    <t>Jiao, Y; Li, WW; Wang, W; Tong, XY; Xia, R; Fan, J; Du, JE; Zhang, CM; Shi, XY</t>
  </si>
  <si>
    <t>Jiao, Yang; Li, Weiwei; Wang, Wei; Tong, Xingyu; Xia, Ran; Fan, Jie; Du, Jianer; Zhang, Chengmi; Shi, Xueyin</t>
  </si>
  <si>
    <t>Platelet-derived exosomes promote neutrophil extracellular trap formation during septic shock</t>
  </si>
  <si>
    <t>CRITICAL CARE</t>
  </si>
  <si>
    <t>Septic shock; Neutrophil extracellular traps; Platelets; Exosomes; HMGB1; miRNAs</t>
  </si>
  <si>
    <t>AUTOPHAGY; ACTIVATION; CELLS; MTOR; MICRORNAS; MECHANISM; PATHWAYS; RELEASE; PROTEIN; SEPSIS</t>
  </si>
  <si>
    <t>BackgroundPlatelets have been demonstrated to be potent activators of neutrophil extracellular trap (NET) formation during sepsis. However, the mediators and molecular pathways involved in human platelet-mediated NET generation remain poorly defined. Circulating plasma exosomes mostly originating from platelets may induce vascular apoptosis and myocardial dysfunction during sepsis; however, their role in NET formation remains unclear. This study aimed to detect whether platelet-derived exosomes could promote NET formation during septic shock and determine the potential mechanisms involved.MethodsPolymorphonuclear neutrophils (PMNs) were cocultured with exosomes isolated from the plasma of healthy controls and septic shock patients or the supernatant of human platelets stimulated ex vivo with phosphate buffer saline (PBS) or lipopolysaccharide (LPS). A lethal cecal ligation and puncture (CLP) mouse model was used to mimic sepsis in vivo; then, NET formation and molecular pathways were detected.ResultsNET components (dsDNA and MPO-DNA complexes) were significantly increased in response to treatment with septic shock patient-derived exosomes and correlated positively with disease severity and outcome. In the animal CLP model, platelet depletion reduced plasma exosome concentration, NET formation, and lung injury. Mechanistic studies demonstrated that exosomal high-mobility group protein 1 (HMGB1) and/or miR-15b-5p and miR-378a-3p induced NET formation through the Akt/mTOR autophagy pathway. Furthermore, the results suggested that I kappa B kinase (IKK) controls platelet-derived exosome secretion in septic shock.ConclusionsPlatelet-derived exosomes promote excessive NET formation in sepsis and subsequent organ injury. This finding suggests a previously unidentified role of platelet-derived exosomes in sepsis and may lead to new therapeutic approaches.</t>
  </si>
  <si>
    <t>[Jiao, Yang; Li, Weiwei; Wang, Wei; Tong, Xingyu; Xia, Ran; Du, Jianer; Zhang, Chengmi; Shi, Xueyin] Shanghai Jiao Tong Univ, Sch Med, Xinhua Hosp, Dept Anesthesiol, 1665 Kongjiang Rd, Shanghai 200092, Peoples R China; [Jiao, Yang; Li, Weiwei; Wang, Wei; Tong, Xingyu; Xia, Ran; Du, Jianer; Zhang, Chengmi; Shi, Xueyin] Shanghai Jiao Tong Univ, Sch Med, Xinhua Hosp, Intens Care Unit, 1665 Kongjiang Rd, Shanghai 200092, Peoples R China; [Fan, Jie] Univ Pittsburgh, Sch Med, Dept Surg, Pittsburgh, PA 15213 USA</t>
  </si>
  <si>
    <t>Shanghai Jiao Tong University; Shanghai Jiao Tong University; Pennsylvania Commonwealth System of Higher Education (PCSHE); University of Pittsburgh</t>
  </si>
  <si>
    <t>Du, JE; Zhang, CM; Shi, XY (corresponding author), Shanghai Jiao Tong Univ, Sch Med, Xinhua Hosp, Dept Anesthesiol, 1665 Kongjiang Rd, Shanghai 200092, Peoples R China.;Du, JE; Zhang, CM; Shi, XY (corresponding author), Shanghai Jiao Tong Univ, Sch Med, Xinhua Hosp, Intens Care Unit, 1665 Kongjiang Rd, Shanghai 200092, Peoples R China.</t>
  </si>
  <si>
    <t>dujianer@xinhuamed.com.cn; zhcm1985@sina.com; shixueyin1128@163.com</t>
  </si>
  <si>
    <t>1466-609X</t>
  </si>
  <si>
    <t>1364-8535</t>
  </si>
  <si>
    <t>JUN 29</t>
  </si>
  <si>
    <t>10.1186/s13054-020-03082-3</t>
  </si>
  <si>
    <t>Critical Care Medicine</t>
  </si>
  <si>
    <t>WOS:000546213800001</t>
  </si>
  <si>
    <t>Giovannelli, I; Martelli, F; Repice, A; Massacesi, L; Azzi, A; Giannecchini, S</t>
  </si>
  <si>
    <t>Giovannelli, Irene; Martelli, Francesco; Repice, Anna; Massacesi, Luca; Azzi, Alberta; Giannecchini, Simone</t>
  </si>
  <si>
    <t>Detection of JCPyV microRNA in blood and urine samples of multiple sclerosis patients under natalizumab therapy</t>
  </si>
  <si>
    <t>JOURNAL OF NEUROVIROLOGY</t>
  </si>
  <si>
    <t>Multiple sclerosis; JCPyV; MicroRNA expression; Exosomes; Natalizumab; PML</t>
  </si>
  <si>
    <t>PROGRESSIVE MULTIFOCAL LEUKOENCEPHALOPATHY; VIRAL MIRNAS; JC VIRUS; POLYOMAVIRUS; INFECTION; MECHANISM</t>
  </si>
  <si>
    <t>Polyomavirus JC (JCPyV) reactivation and development of progressive multifocal leukoencephalopathy is a health concern in multiple sclerosis patients under natalizumab therapy. Here, the JCPyV microRNA-J1-3p and microRNA-J1-5p expressions and genomic variability were investigated in blood and urine samples of multiple sclerosis patients before and under natalizumab therapy and in healthy controls. The two JCPyV microRNAs were detected in the JCPyV-DNA-positive peripheral blood mononuclear cell samples and in the exosomes derived from plasma and urine obtained from JCPyV-DNA-positive and JCPyV-DNA-negative patients. In particular, the increased JCPyV microRNA expression in samples of multiple sclerosis patients under natalizumab therapy was consistent with the high JCPyV-DNA positivity observed in these samples. Moreover, JCPyV microRNA genomic region showed few nucleotide differences in samples obtained from blood and urine of multiple sclerosis patients and healthy controls. Overall, these data suggest a potential role of the JCPyV microRNA expression in counteracting the viral reactivation to maintain JCPyV asymptomatic persistence in the host.</t>
  </si>
  <si>
    <t>[Giovannelli, Irene; Martelli, Francesco; Azzi, Alberta; Giannecchini, Simone] Univ Florence, Dept Expt &amp; Clin Med, I-50134 Florence, Italy; [Repice, Anna; Massacesi, Luca] Univ Florence, Careggi Univ Hosp, Div Neurol 2, I-50134 Florence, Italy; [Massacesi, Luca] Univ Florence, Dept Neurosci, I-50134 Florence, Italy</t>
  </si>
  <si>
    <t>University of Florence; University of Florence; Azienda Ospedaliero Universitaria Careggi; University of Florence</t>
  </si>
  <si>
    <t>Giannecchini, S (corresponding author), Univ Florence, Dept Expt &amp; Clin Med, Via Morgagni 48, I-50134 Florence, Italy.</t>
  </si>
  <si>
    <t>Giannecchini, Simone/K-2136-2016; Repice, Anna/AAX-6008-2020; Massacesi, Luca/ABA-9431-2020</t>
  </si>
  <si>
    <t>Giannecchini, Simone/0000-0003-3374-7621; Massacesi, Luca/0000-0001-5083-372X</t>
  </si>
  <si>
    <t>1355-0284</t>
  </si>
  <si>
    <t>1538-2443</t>
  </si>
  <si>
    <t>10.1007/s13365-015-0325-3</t>
  </si>
  <si>
    <t>Neurosciences; Virology</t>
  </si>
  <si>
    <t>Neurosciences &amp; Neurology; Virology</t>
  </si>
  <si>
    <t>WOS:000364021500009</t>
  </si>
  <si>
    <t>Tamura, R; Balabanova, A; Frakes, SA; Bargmann, A; Grimm, J; Koch, TH; Yin, H</t>
  </si>
  <si>
    <t>Tamura, Ryo; Balabanova, Alla; Frakes, Samuel A.; Bargmann, Austin; Grimm, Jan; Koch, Tad H.; Yin, Hang</t>
  </si>
  <si>
    <t>Photoactivatable Prodrug of Doxazolidine Targeting Exosomes</t>
  </si>
  <si>
    <t>JOURNAL OF MEDICINAL CHEMISTRY</t>
  </si>
  <si>
    <t>EXTRACELLULAR VESICLES; CERENKOV RADIATION; DELIVERY VEHICLES; TOPOISOMERASE-II; IN-VITRO; DOXORUBICIN; PEPTIDE; IDENTIFICATION; MICROVESICLES; ACTIVATION</t>
  </si>
  <si>
    <t>Natural lipid nanocarriers, exosomes, carry cell-signaling materials such as DNA and RNA for intercellular communications. Exosomes derived from cancer cells contribute to the progression and metastasis of cancer cells by transferring oncogenic signaling molecules to neighboring and remote premetastatic sites. Therefore, applying the unique properties of exosomes for cancer therapy has been expected in science, medicine, and drug discovery fields. Herein, we report that an exosome-targeting prodrug system, designated MARCKS-ED-photodoxaz, could spatiotemporally control the activation of an exquisitely cytotoxic agent, doxazolidine (doxaz), with UV light. The MARCKS-ED peptide enters a cell by forming a complex with the exosomes in situ at its plasma membrane and in the media. MARCKS-ED-photodoxaz releases doxaz under near-UV irradiation to inhibit cell growth with low nanomolar IC50 values. The MARCKS-ED-photodoxaz system targeting exosomes and utilizing photochemistry will potentially provide a new approach for the treatment of cancer, especially for highly progressive and invasive metastatic cancers.</t>
  </si>
  <si>
    <t>[Tamura, Ryo; Balabanova, Alla; Frakes, Samuel A.; Bargmann, Austin; Koch, Tad H.; Yin, Hang] Univ Colorado, Dept Chem &amp; Biochem, Boulder, CO 80309 USA; [Tamura, Ryo; Yin, Hang] Univ Colorado, BioFrontiers Inst, Boulder, CO 80309 USA; [Tamura, Ryo; Grimm, Jan] Mem Sloan Kettering Canc Ctr, Mol Pharmacol Program, New York, NY 10065 USA; [Yin, Hang] Tsinghua Univ, Tsinghua Univ Peking Univ Joint Ctr Life Sci, Sch Pharmaceut Sci, Beijing 100082, Peoples R China</t>
  </si>
  <si>
    <t>University of Colorado System; University of Colorado Boulder; University of Colorado System; University of Colorado Boulder; Memorial Sloan Kettering Cancer Center; Tsinghua University</t>
  </si>
  <si>
    <t>Yin, H (corresponding author), Univ Colorado, Dept Chem &amp; Biochem, Boulder, CO 80309 USA.;Yin, H (corresponding author), Univ Colorado, BioFrontiers Inst, Boulder, CO 80309 USA.;Yin, H (corresponding author), Tsinghua Univ, Tsinghua Univ Peking Univ Joint Ctr Life Sci, Sch Pharmaceut Sci, Beijing 100082, Peoples R China.</t>
  </si>
  <si>
    <t>yin_hang@tsinghua.edu.cn</t>
  </si>
  <si>
    <t>Core, BioFrontiers Advanced Light Microscopy/O-6175-2019; YIN, HANG HUBERT/O-2097-2014</t>
  </si>
  <si>
    <t>YIN, HANG HUBERT/0000-0002-9762-4818</t>
  </si>
  <si>
    <t>0022-2623</t>
  </si>
  <si>
    <t>1520-4804</t>
  </si>
  <si>
    <t>FEB 28</t>
  </si>
  <si>
    <t>10.1021/acs.jmedchem.8b01508</t>
  </si>
  <si>
    <t>Chemistry, Medicinal</t>
  </si>
  <si>
    <t>Science Citation Index Expanded (SCI-EXPANDED); Index Chemicus (IC)</t>
  </si>
  <si>
    <t>WOS:000460365600016</t>
  </si>
  <si>
    <t>Jaworski, E; Narayanan, A; Van Duyne, R; Shabbeer-Meyering, S; Iordanskiy, S; Saifuddin, M; Das, R; Afonso, PV; Sampey, GC; Chung, M; Popratiloff, A; Shrestha, B; Sehgal, M; Jain, P; Vertes, A; Mahieux, R; Kashanchi, F</t>
  </si>
  <si>
    <t>Jaworski, Elizabeth; Narayanan, Aarthi; Van Duyne, Rachel; Shabbeer-Meyering, Shabana; Iordanskiy, Sergey; Saifuddin, Mohammed; Das, Ravi; Afonso, Philippe V.; Sampey, Gavin C.; Chung, Myung; Popratiloff, Anastas; Shrestha, Bindesh; Sehgal, Mohit; Jain, Pooja; Vertes, Akos; Mahieux, Renaud; Kashanchi, Fatah</t>
  </si>
  <si>
    <t>Human T-lymphotropic Virus Type 1-infected Cells Secrete Exosomes That Contain Tax Protein</t>
  </si>
  <si>
    <t>HTLV-I TAX; DNA-DAMAGE RESPONSE; MOLECULAR-MECHANISMS; CEREBROSPINAL-FLUID; PROTEOMICS ANALYSIS; MEDIATED TRANSFER; MESSENGER-RNAS; INFECTED-CELLS; LEUKEMIA-CELLS; HUMAN SALIVA</t>
  </si>
  <si>
    <t>Human T-lymphotropic virus type 1 (HTLV-1) is the causative agent of adult T-cell leukemia and HTLV-1-associated myelopathy/tropical spastic paraparesis. The HTLV-1 transactivator protein Tax controls many critical cellular pathways, including host cell DNA damage response mechanisms, cell cycle progression, and apoptosis. Extracellular vesicles called exosomes play critical roles during pathogenic viral infections as delivery vehicles for host and viral components, including proteins, mRNA, and microRNA. We hypothesized that exosomes derived from HTLV-1-infected cells contain unique host and viral proteins that may contribute to HTLV-1-induced pathogenesis. We found exosomes derived from infected cells to contain Tax protein and proinflammatory mediators as well as viral mRNA transcripts, including Tax, HBZ, and Env. Furthermore, we observed that exosomes released from HTLV-1-infected Tax-expressing cells contributed to enhanced survival of exosome-recipient cells when treated with Fas antibody. This survival was cFLIP-dependent, with Tax showing induction of NF-kappa B in exosome-recipient cells. Finally, IL-2-dependent CTLL-2 cells that received Tax-containing exosomes were protected from apoptosis through activation of AKT. Similar experiments with primary cultures showed protection and survival of peripheral blood mononuclear cells even in the absence of phytohemagglutinin/IL-2. Surviving cells contained more phosphorylated Rb, consistent with the role of Tax in regulation of the cell cycle. Collectively, these results suggest that exosomes may play an important role in extracellular delivery of functional HTLV-1 proteins and mRNA to recipient cells.</t>
  </si>
  <si>
    <t>[Jaworski, Elizabeth; Narayanan, Aarthi; Van Duyne, Rachel; Shabbeer-Meyering, Shabana; Iordanskiy, Sergey; Saifuddin, Mohammed; Das, Ravi; Sampey, Gavin C.; Chung, Myung; Kashanchi, Fatah] George Mason Univ, Sch Syst Biol, Natl Ctr Biodef &amp; Infect Dis, Manassas, VA 20110 USA; [Van Duyne, Rachel; Iordanskiy, Sergey] George Washington Univ, Med Ctr, Dept Microbiol Immunol &amp; Trop Med, Washington, DC 20037 USA; [Shrestha, Bindesh; Vertes, Akos] George Washington Univ, Med Ctr, Ctr Microscopy &amp; Image Anal, Washington, DC 20037 USA; [Popratiloff, Anastas] George Washington Univ, Dept Chem, Washington, DC 20037 USA; [Mahieux, Renaud] Univ Lyon 1, Ecole Normale Super Lyon, Equipe Labelisee Ligue Natl Canc,Equipe Oncogenes, Int Ctr Res Infectiol,CNRS,INSERM,U1111,UMR5308, F-69364 Lyon 07, France; [Afonso, Philippe V.] Inst Pasteur, Dept Virol, Unite Epidemiol &amp; Physiopathol Virus Oncogenes, F-75015 Paris, France; [Afonso, Philippe V.] CNRS, UMR3569, F-75015 Paris, France; [Sehgal, Mohit; Jain, Pooja] Drexel Univ, Coll Med, Dept Microbiol &amp; Immunol, Drexel Inst Biotechnol &amp; Virol Res, Doylestown, PA 18902 USA</t>
  </si>
  <si>
    <t>George Mason University; George Washington University; George Washington University; George Washington University; Centre National de la Recherche Scientifique (CNRS); Ecole Normale Superieure de Lyon (ENS de LYON); Institut National de la Sante et de la Recherche Medicale (Inserm); UDICE-French Research Universities; Universite Claude Bernard Lyon 1; Le Reseau International des Instituts Pasteur (RIIP); Institut Pasteur Paris; Centre National de la Recherche Scientifique (CNRS); CNRS - National Institute for Biology (INSB); Le Reseau International des Instituts Pasteur (RIIP); Institut Pasteur Paris; UDICE-French Research Universities; Universite de Paris; Drexel University</t>
  </si>
  <si>
    <t>Kashanchi, F (corresponding author), George Mason Univ, Discovery Hall,Rm 182,10900 Univ Blvd MS 1H8, Manassas, VA 20110 USA.</t>
  </si>
  <si>
    <t>fkashanc@gmu.edu</t>
  </si>
  <si>
    <t>Van Duyne, Rachel/I-7365-2019; Vertes, Akos/B-7159-2008; Afonso, Philippe V/D-2234-2014; Afonso, Philippe V/ABB-5692-2021; Van Duyne, Rachel/ABI-2429-2020; Shrestha, Bindesh/B-8821-2008</t>
  </si>
  <si>
    <t>Vertes, Akos/0000-0001-5186-5352; Afonso, Philippe V/0000-0002-4828-3797; Afonso, Philippe V/0000-0002-4828-3797; Van Duyne, Rachel/0000-0003-2914-6874; Shrestha, Bindesh/0000-0002-7595-3506; Das, Ravi/0000-0002-4301-0642; Sehgal, Mohit/0000-0001-5544-3675; mahieux, renaud/0000-0002-5129-6804</t>
  </si>
  <si>
    <t>AUG 8</t>
  </si>
  <si>
    <t>10.1074/jbc.M114.549659</t>
  </si>
  <si>
    <t>WOS:000340593500041</t>
  </si>
  <si>
    <t>Scribano, S; Guerrini, M; Arvia, R; Guasti, D; Nardini, P; Romagnoli, P; Giannecchini, S</t>
  </si>
  <si>
    <t>Scribano, Stefano; Guerrini, Mirko; Arvia, Rosaria; Guasti, Daniele; Nardini, Patrizia; Romagnoli, Paolo; Giannecchini, Simone</t>
  </si>
  <si>
    <t>Archetype JC polyomavirus DNA associated with extracellular vesicles circulates in human plasma samples</t>
  </si>
  <si>
    <t>PROGRESSIVE MULTIFOCAL LEUKOENCEPHALOPATHY; TRANSMISSION; ESTABLISHES; INFECTION; EXOSOMES; DISEASE; BIOLOGY; BLOOD; CELLS; RISK</t>
  </si>
  <si>
    <t>[Scribano, Stefano; Guerrini, Mirko; Arvia, Rosaria; Guasti, Daniele; Nardini, Patrizia; Romagnoli, Paolo; Giannecchini, Simone] Univ Florence, Dept Expt &amp; Clin Med, Florence, Italy</t>
  </si>
  <si>
    <t>University of Florence</t>
  </si>
  <si>
    <t>Giannecchini, S (corresponding author), Univ Florence, Dept Expt &amp; Clin Med, Florence, Italy.</t>
  </si>
  <si>
    <t>Giannecchini, Simone/K-2136-2016; Arvia, Rosaria/AAD-6034-2021</t>
  </si>
  <si>
    <t xml:space="preserve">Giannecchini, Simone/0000-0003-3374-7621; </t>
  </si>
  <si>
    <t>WOS:000541168000038</t>
  </si>
  <si>
    <t>Morris, DC; Jaehne, AK; Chopp, M; Zhang, ZG; Poisson, L; Chen, YL; Datta, I; Rivers, EP</t>
  </si>
  <si>
    <t>Morris, Daniel C.; Jaehne, Anja K.; Chopp, Michael; Zhang, Zhanggang; Poisson, Laila; Chen, Yalei; Datta, Indrani; Rivers, Emanuel P.</t>
  </si>
  <si>
    <t>Proteomic Profiles of Exosomes of Septic Patients Presenting to the Emergency Department Compared to Healthy Controls</t>
  </si>
  <si>
    <t>JOURNAL OF CLINICAL MEDICINE</t>
  </si>
  <si>
    <t>sepsis; septic shock; exosomes; proteomic profiles; healthy volunteers; emergency department</t>
  </si>
  <si>
    <t>ACUTE-PHASE PROTEINS; C-REACTIVE PROTEIN; STATISTICAL-MODEL; SEVERE SEPSIS; EXPRESSION; DISEASE; INFECTION; RESPONSES</t>
  </si>
  <si>
    <t>Background: Septic Emergency Department (ED) patients provide a unique opportunity to investigate early sepsis. Recent work focuses on exosomes, nanoparticle-sized lipid vesicles (30-130 nm) that are released into the bloodstream to transfer its contents (RNA, miRNA, DNA, protein) to other cells. Little is known about how early changes related to exosomes may contribute to the dysregulated inflammatory septic response that leads to multi-organ dysfunction. We aimed to evaluate proteomic profiles of plasma derived exosomes obtained from septic ED patients and healthy controls. Methods: This is a prospective observational pilot study evaluating a plasma proteomic exosome profile at an urban tertiary care hospital ED using a single venipuncture blood draw, collecting 40 cc Ethylenediaminetetraacetic acid (EDTA) blood. Measurements: We recruited seven patients in the ED within 6 h of their presentation and five healthy controls. Plasma exosomes were isolated using the Invitrogen Total Exosome Isolation Kit. Exosome proteomic profiles were analyzed using fusion mass spectroscopy and Proteome Discoverer. Principal component analysis (PCA) and differential expression analysis (DEA) for sepsis versus control was performed. Results: PCA of 261 proteins demonstrated septic patients and healthy controls were distributed in two groups. DEA revealed that 62 (23.8%) proteins differed between the exosomes of septic patients and healthy controls,p-value &lt; 0.05. Adjustments using the False Discovery Rate (FDR) showed 23 proteins remained significantly different (FDR &lt; 0.05) between sepsis and controls. Septic patients and controls were classified into two distinct groups by hierarchical clustering using the 62 nominally DE proteins. After adjustment multiple comparisons, three acute phase proteins remained significantly different between patients and controls: Serum amyloid A-1, C-reactive protein and Serum Amyloid A-2. Inflammatory response proteins immunoglobulin heavy constant Delta and Fc-fragment of IgG binding protein were increased. Conclusion: Exosome proteomic profiles of septic ED patients differ from their healthy counterparts with regard to acute phase response and inflammation.</t>
  </si>
  <si>
    <t>[Morris, Daniel C.; Jaehne, Anja K.; Rivers, Emanuel P.] Henry Ford Hosp, Dept Emergency Med, Detroit, MI 48202 USA; [Morris, Daniel C.; Chopp, Michael; Zhang, Zhanggang] Henry Ford Hosp, Dept Neurol Res, Detroit, MI 48202 USA; [Poisson, Laila; Chen, Yalei; Datta, Indrani] Henry Ford Hosp, Dept Publ Hlth Sci, Detroit, MI 48202 USA; [Rivers, Emanuel P.] Henry Ford Hosp, Dept Surg Crit Care, Detroit, MI 48202 USA</t>
  </si>
  <si>
    <t>Henry Ford Hospital; Henry Ford Hospital; Henry Ford Hospital; Henry Ford Hospital</t>
  </si>
  <si>
    <t>Jaehne, AK (corresponding author), Henry Ford Hosp, Dept Emergency Med, Detroit, MI 48202 USA.</t>
  </si>
  <si>
    <t>DMorris4@hfhs.org; AJaehne2@hfhs.org; MChopp1@hfhs.org; ZZhang1@hfhs.org; LPoisso1@hfhs.org; YChen4@hfhs.org; IDatta1@hfhs.org; ERivers1@hfhs.org</t>
  </si>
  <si>
    <t>Jaehne, Anja/AAD-2406-2019</t>
  </si>
  <si>
    <t>Jaehne, Anja/0000-0002-0744-2886; Morris, Daniel/0000-0002-9113-0614</t>
  </si>
  <si>
    <t>2077-0383</t>
  </si>
  <si>
    <t>10.3390/jcm9092930</t>
  </si>
  <si>
    <t>WOS:000580270100001</t>
  </si>
  <si>
    <t>Ghoul, A; Moudilou, E; Cherifi, ME; Zerrouk, F; Chaouad, B; Moulahoum, A; Aouichat-Bouguerra, S; Othmani, K; Exbrayat, JM; Benazzoug, Y</t>
  </si>
  <si>
    <t>Ghoul, Adel; Moudilou, Elara; Cherifi, Mohamed El Hadi; Zerrouk, Fouzia; Chaouad, Billel; Moulahoum, Anissa; Aouichat-Bouguerra, Souhila; Othmani, Khira; Exbrayat, Jean-Marie; Benazzoug, Yasmina</t>
  </si>
  <si>
    <t>The role of homocysteine in seminal vesicles remodeling in rat</t>
  </si>
  <si>
    <t>FOLIA HISTOCHEMICA ET CYTOBIOLOGICA</t>
  </si>
  <si>
    <t>hyperhomocysteinemia; rat; seminal vesicles; metalloproteinases; collagen I; collagen III; IHC; Western blot</t>
  </si>
  <si>
    <t>SMOOTH-MUSCLE-CELLS; METHIONINE-INDUCED HYPERHOMOCYSTEINEMIA; IMPAIRS ENDOTHELIAL FUNCTION; MATRIX METALLOPROTEINASES; OXIDATIVE STRESS; FOLIC-ACID; DNA HYPERMETHYLATION; EXPRESSION; MMP-9; PLASMA</t>
  </si>
  <si>
    <t>Introduction. Elevated plasma homocysteine (Hcy) levels have been associated with several tissue injuries including heart and liver fibrosis. In these diseases, hyperhomocysteinemia (Hhcy) plays a major role in modulating the alteration of the balance between matrix metalloproteinases (MMP) and tissue inhibitors of metalloproteinases (TIMPs), leading to the pathological accumulation of extracellular matrix (ECM) proteins. Since the effect of Hhcy on ECM of seminal vesicle was not studied, the aim of our research was to check if Hcy can induce a remodeling within seminal vesicles ECM. Material and methods. The study was conducted in 22 adult male Wistar rats. The rats were divided into two groups: a control group, which received standard diet and tap water; the treated group received the same diet and water supplemented with solution of L-methionine (200 mg/kg b.w./day) for 6 months. Plasma homocysteine concentration was measured. Histological changes were observed with light microscope. The presence of collagen I and III and metalloproteinases (2, 3, 7 and 9) in the seminal vesicles was examined using immunohistochemistry and Western blotting. Results. Plasma Hcy levels increased significantly after methionine treatment and interfered significantly with body weight in treated rats. The content of fibrillar collagens (I and III) in the wall of seminal vesicles was elevated in hyperhomocysteinemic rats. Moreover, we found that hyperhomocysteinemia increased the expression of MMP-2, -3, -7 and -9 in seminal vesicles of experimental rats. Conclusions. Increased plasma concentration of Hcy accompanied by the accumulation of collagen and upregulation of MMPs in rat seminal vesicles might contribute to the remodeling of seminal vesicles.</t>
  </si>
  <si>
    <t>[Ghoul, Adel; Zerrouk, Fouzia; Chaouad, Billel; Moulahoum, Anissa; Othmani, Khira; Benazzoug, Yasmina] USTHB, Fac Biol Sci FSB, Extracellular Matrix, Lab Cellular &amp; Mol Biol BCM, Algiers, Algeria; [Moudilou, Elara; Exbrayat, Jean-Marie] Univ Lyon, UMRS 449, Gen Biol Reprod &amp; Comparat Dev, Catholic Univ Lyon,EPHE PSL, Lyon 02, France; [Cherifi, Mohamed El Hadi] EPH Bologhine Ibn Ziri, Cent Lab Biol, Algiers, Algeria; [Aouichat-Bouguerra, Souhila] USTHB, Fac Biol Sci, Lab Cellular &amp; Mol Physiopathol, Algiers, Algeria</t>
  </si>
  <si>
    <t>University Science &amp; Technology Houari Boumediene; UDICE-French Research Universities; PSL Research University Paris; Ecole Pratique des Hautes Etudes (EPHE); University Science &amp; Technology Houari Boumediene</t>
  </si>
  <si>
    <t>Ghoul, A (corresponding author), Univ Sci &amp; Technol Houari Boumediene, BP 32 El Alia 16111, Bab Ezzouar 16111, Algeria.</t>
  </si>
  <si>
    <t>ghoul.adel@yahoo.fr</t>
  </si>
  <si>
    <t>Benazzoug, Yasmina/AAE-4305-2019; ghoul, adel/AAD-2327-2019; Exbrayat, Jean-Marie/I-1630-2019</t>
  </si>
  <si>
    <t>ghoul, adel/0000-0002-8840-1946; Exbrayat, Jean-Marie/0000-0003-4280-2688; Aouichat, Souhila/0000-0002-1079-6722</t>
  </si>
  <si>
    <t>0239-8508</t>
  </si>
  <si>
    <t>1897-5631</t>
  </si>
  <si>
    <t>10.5603/FHC.a2017.0010</t>
  </si>
  <si>
    <t>WOS:000406232700003</t>
  </si>
  <si>
    <t>Liquid Biopsy for Investigation of Cancer DNA in Esophageal Adenocarcinoma: Cell-Free Plasma DNA and Exosome-Associated DNA</t>
  </si>
  <si>
    <t>ESOPHAGEAL ADENOCARCINOMA: Methods and Protocols</t>
  </si>
  <si>
    <t>CIRCULATING TUMOR-CELLS</t>
  </si>
  <si>
    <t>Liquid biopsy of cancers is an area of increasing interest in medical practice for the surveillance, management, and potential detection of malignant cells, using minimally invasive collection of body fluids. A liquid biopsy is particularly useful for metastatic cancers, which may be difficult to be sampled by core biopsy, due to difficulty of access or an occult location. Access to DNA shed from esophageal adenocarcinoma can enable the detection of mutations confirming the presence of malignant cells or the evolution of clonal lines with altered treatment response profiles. In this chapter, we detail a method for the isolation of cell-free DNA from blood plasma and DNA associated with exosomes in blood from patients with esophageal adenocarcinoma.</t>
  </si>
  <si>
    <t>[Smith, Robert A.] Queensland Univ Technol, Genom Res Ctr, Sch Biomed Sci, Inst Hlth &amp; Biomed Innovat, Kelvin Grove, Qld, Australia; [Lam, Alfred K.] Griffith Univ, Canc Mol Pathol, Sch Med, Gold Coast, Australia</t>
  </si>
  <si>
    <t>Smith, RA (corresponding author), Queensland Univ Technol, Genom Res Ctr, Sch Biomed Sci, Inst Hlth &amp; Biomed Innovat, Kelvin Grove, Qld, Australia.</t>
  </si>
  <si>
    <t>978-1-4939-7734-5; 978-1-4939-7733-8</t>
  </si>
  <si>
    <t>10.1007/978-1-4939-7734-5_17</t>
  </si>
  <si>
    <t>10.1007/978-1-4939-7734-5</t>
  </si>
  <si>
    <t>Biochemical Research Methods; Oncology; Gastroenterology &amp; Hepatology</t>
  </si>
  <si>
    <t>Biochemistry &amp; Molecular Biology; Oncology; Gastroenterology &amp; Hepatology</t>
  </si>
  <si>
    <t>WOS:000685158800018</t>
  </si>
  <si>
    <t>Cheng, SS; Kong, QQ; Hu, XY; Zhang, CL; Xian, YZ</t>
  </si>
  <si>
    <t>Cheng, Shasha; Kong, Qianqian; Hu, Xinyu; Zhang, Cuiling; Xian, Yuezhong</t>
  </si>
  <si>
    <t>An Ultrasensitive Strand Displacement Signal Amplification-Assisted Synchronous Fluorescence Assay for Surface Proteins of Small Extracellular Vesicle Analysis and Cancer Identification</t>
  </si>
  <si>
    <t>MULTIPEDAL DNA WALKER; ELECTROCHEMICAL DETECTION; EXOSOME DETECTION; APTASENSOR</t>
  </si>
  <si>
    <t>Small extracellular vesicles (sEVs), often known as exosomes, are expected to be a promising biomarker for the early diagnosis of cancer because they carry enriched proteins that originated from parent cells. Profiling surface proteins of sEVs offers non-invasive access for the early diagnosis of cancer. However, it remains challenging to simultaneously detect surface proteins of sEVs with desired sensitivity. Herein, a dual color DNA nanodevice based on toehold-mediated DNA strand displacement signal amplification and the synchronous fluorescence technique has been developed for simultaneous analysis of surface proteins of sEVs with high sensitivity. As for the DNA nanodevice-based system, the nanoconjugates of aptamer-magnetic beads can recognize surface proteins of sEVs and lead to the release of single-stranded DNA. Then, the released DNA can trigger toehold-mediated DNA strand displacement for signal amplification. In this system, a CD63 aptamer and MUC1 aptamer were used as recognition elements for the detection of surface proteins of sEVs isolated from cancer cells. Under the optimal conditions, the corresponding proteins of sEVs were simultaneously determined with ultrasensitivity by the synchronous fluorescence method. Also, the detection limits of sEVs by two surface proteins were 67 particles/mu L by CD63 and 37 particles/mu L by MUC1. Of note, the as-constructed method can be applied to recognize sEVs from different tumor cell lines (SGC7901, HepG2, and MCF-7 cells). Furthermore, the system has been successfully applied to precisely identify cancer patients from healthy people by serum analysis. The strategy demonstrates great potential applications in the early diagnosis of cancer.</t>
  </si>
  <si>
    <t>[Cheng, Shasha; Kong, Qianqian; Hu, Xinyu; Zhang, Cuiling; Xian, Yuezhong] East China Normal Univ, Sch Chem &amp; Mol Engn, Dept Chem, Shanghai Engn Res Ctr Mol Therapeut &amp; New Drug De, Shanghai 200241, Peoples R China</t>
  </si>
  <si>
    <t>Zhang, CL; Xian, YZ (corresponding author), East China Normal Univ, Sch Chem &amp; Mol Engn, Dept Chem, Shanghai Engn Res Ctr Mol Therapeut &amp; New Drug De, Shanghai 200241, Peoples R China.</t>
  </si>
  <si>
    <t>clzhang@chem.ecnu.edu.cn; yzxian@chem.ecnu.edu.cn</t>
  </si>
  <si>
    <t>Xian, Yuezhong/H-2445-2015</t>
  </si>
  <si>
    <t>Xian, Yuezhong/0000-0001-9535-3658</t>
  </si>
  <si>
    <t>JAN 18</t>
  </si>
  <si>
    <t>10.1021/acs.analchem.1c04122</t>
  </si>
  <si>
    <t>WOS:000741043400001</t>
  </si>
  <si>
    <t>Ebrahim, N; Al Saihati, HA; Mostafa, O; Hassouna, A; Abdulsamea, S; El Gebaly, EAEM; Abo-Rayah, NH; Sabry, D; El-Sherbiny, M; Madboly, AG; Hussien, NI; Saadani, RE; Ebrahim, HA; Badr, OAM; Elsherbiny, NM; Salim, RF</t>
  </si>
  <si>
    <t>Ebrahim, Nesrine; Al Saihati, Hajir A.; Mostafa, Ola; Hassouna, Amira; Abdulsamea, Sameh; Abd El Aziz M. El Gebaly, Eman; Abo-Rayah, Nashwa Hassan; Sabry, Dina; El-Sherbiny, Mohamed; Madboly, Abdelmonem G.; Hussien, Noha Ibrahim; Saadani, Raja El Hasnaoui; Ebrahim, Hasnaa Ali; Badr, Omnia A. M.; Elsherbiny, Nehal M.; Salim, Rabab F.</t>
  </si>
  <si>
    <t>Prophylactic Evidence of MSCs-Derived Exosomes in Doxorubicin/Trastuzumab-Induced Cardiotoxicity: Beyond Mechanistic Target of NRG-1/Erb Signaling Pathway</t>
  </si>
  <si>
    <t>trastuzumab; doxorubicin; stem cells; exosomes; cardiac toxicity; NRG-1; MAPK; AKT</t>
  </si>
  <si>
    <t>INHIBIT CARDIOMYOCYTE APOPTOSIS; INDUCED CARDIAC DYSFUNCTION; HEART-FAILURE; MITOCHONDRIAL DYSFUNCTION; EXTRACELLULAR VESICLES; VENTRICULAR MYOCYTES; OXIDATIVE STRESS; GENE-EXPRESSION; DOXORUBICIN; CELLS</t>
  </si>
  <si>
    <t>Trastuzumab (Trz) is a humanized monoclonal antibody targeting epidermal growth factor receptor 2 (HER2; ErbB2). The combined administration of Trz and doxorubicin (DOX) has shown potent anti-cancer efficacy; however, this regimen may be accompanied by severe cardiac toxicity. Mesenchymal stem cells (MSCs)-derived exosomes are nanosized vesicles that play a crucial role in cell-cell communication and have shown efficacy in the treatment of various diseases. In this study, we aim to investigate the cardioprotective effects of MSCs-derived exosomes in a DOX/Trz- mediated cardiotoxicity model, and the possible mechanisms underlying these effects are elucidated. Forty-nine male rats were randomly assigned into four groups: Group I (control); Group II (Dox/Trz); Group III (protective group); and Group IV (curative group). Cardiac hemodynamic parameters, serum markers of cardiac injury, oxidative stress indices, and cardiac histopathology were investigated. Further, transcript profile of specific cardiac tissue injury markers, apoptotic markers, and fibrotic markers were analyzed using qRT-PCR, while the protein expressions of pAkt/Akt, pERK/ERK, pJNK/JNK, pJNK/JNK, and pSTAT3/STAT3 were evaluated by ELISA. Additionally, cardiac mirR-21 and miR-26a were assessed. A combined administration of DOX/Trz disrupted redox and Ca2+ homeostasis in cardiac tissue induced myocardial fibrosis and myofibril loss and triggered cardiac DNA damage and apoptosis. This cardiotoxicity was accompanied by decreased NRG-1 mRNA expression, HER2 protein expression, and suppressed AKT and ERK phosphorylation, while triggering JNK phosphorylation. Histological and ultra-structural examination of cardiac specimens revealed features typical of cardiac tissue injury. Moreover, a significant decline in cardiac function was observed through biochemical testing of serum cardiac markers and echocardiography. In contrast, the intraperitoneal administration of MSCs-derived exosomes alleviated cardiac injury in both protective and curative protocols; however, superior effects were observed in the protective protocol. The results of the current study indicate the ability of MSCs-derived exosomes to protect from and attenuate DOX/Trz-induced cardiotoxicity. The NRG-1/HER2, MAPK, PI3K/AKT, PJNK/JNK, and PSTAT/STAT signaling pathways play roles in mediating these effects.</t>
  </si>
  <si>
    <t>[Ebrahim, Nesrine; Mostafa, Ola] Benha Univ, Fac Med, Dept Med Histol &amp; Cell Biol, Banha 13511, Egypt; [Ebrahim, Nesrine] Benha Univ, Fac Med, Stem Cell Unit, Banha 13511, Egypt; [Al Saihati, Hajir A.] Univ Hafr Albatin, Coll Appl Med Sci, Dept Clin Lab Sci, Hafr Albatin 39524, Saudi Arabia; [Hassouna, Amira] AUT Univ, Fac Hlth &amp; Environm Sci, Sch Interprofess Hlth Studies, Auckland 1010, New Zealand; [Abdulsamea, Sameh] Benha Univ, Fac Med, Dept Paediat, Banha 13511, Egypt; [Abd El Aziz M. El Gebaly, Eman; Abo-Rayah, Nashwa Hassan] Benha Univ, Fac Med, Dept Clin Pharmacol, Banha 13511, Egypt; [Sabry, Dina] Badr Univ Cairo, Fac Med, Dept Med Biochem &amp; Mol Biol, Cairo 11562, Egypt; [Sabry, Dina] Cairo Univ, Fac Med, Dept Med Biochem &amp; Mol Biol, Giza 12613, Egypt; [El-Sherbiny, Mohamed] AlMaarefa Univ, Coll Med, Dept Basic Med Sci, Riyadh 11597, Saudi Arabia; [El-Sherbiny, Mohamed] Mansoura Univ, Mansoura Fac Med, Dept Anat, Mansoura 35516, Egypt; [Madboly, Abdelmonem G.] Benha Univ, Fac Med, Dept Forens Med &amp; Clin Toxicol, Banha 13511, Egypt; [Hussien, Noha Ibrahim] Banha Univ, Fac Med, Dept Physiol, Banha 13511, Egypt; [Saadani, Raja El Hasnaoui; Ebrahim, Hasnaa Ali] Princess Nourah bint Abdulrahman Univ, Coll Med, Dept Basic Med Sci, Riyadh 11671, Saudi Arabia; [Badr, Omnia A. M.] Benha Univ, Fac Agr, Dept Genet &amp; Genet Engn, Banha 13511, Egypt; [Elsherbiny, Nehal M.] Univ Tabuk, Fac Pharm, Dept Pharmaceut Chem, Tabuk 71491, Saudi Arabia; [Elsherbiny, Nehal M.] Mansoura Univ, Fac Pharm, Dept Biochem, Mansoura 35516, Egypt; [Salim, Rabab F.] Benha Univ, Fac Med, Dept Med Biochem &amp; Mol Biol, Banha 13511, Egypt</t>
  </si>
  <si>
    <t>Egyptian Knowledge Bank (EKB); Benha University; Egyptian Knowledge Bank (EKB); Benha University; Hafr Albatin University; Auckland University of Technology; Egyptian Knowledge Bank (EKB); Benha University; Egyptian Knowledge Bank (EKB); Benha University; Badr University in Cairo; Egyptian Knowledge Bank (EKB); Cairo University; Almaarefa University; Egyptian Knowledge Bank (EKB); Mansoura University; Egyptian Knowledge Bank (EKB); Benha University; Egyptian Knowledge Bank (EKB); Benha University; Princess Nourah bint Abdulrahman University; Egyptian Knowledge Bank (EKB); Benha University; University of Tabuk; Egyptian Knowledge Bank (EKB); Mansoura University; Egyptian Knowledge Bank (EKB); Benha University</t>
  </si>
  <si>
    <t>Elsherbiny, NM (corresponding author), Univ Tabuk, Fac Pharm, Dept Pharmaceut Chem, Tabuk 71491, Saudi Arabia.;Elsherbiny, NM (corresponding author), Mansoura Univ, Fac Pharm, Dept Biochem, Mansoura 35516, Egypt.;Salim, RF (corresponding author), Benha Univ, Fac Med, Dept Med Biochem &amp; Mol Biol, Banha 13511, Egypt.</t>
  </si>
  <si>
    <t>nesrien.salem@fmed.bu.edu.eg; hajirsh@uhb.edu.sa; ola.mostafa.moez@gmail.com; amirahassona@kasralainy.edu.eg; samoha779@gmail.com; drimanpharma@gmail.com; nashwa.aborayah@fmed.bu.edu.eg; dinasabry@kasralainy.edu.eg; msharbini@mcst.edu.sa; abdelmonem.algohari@fmed.bu.edu.eg; noha.ibrahim@fmed.bu.edu.eg; relhasnaui@pnu.edu.sa; haebrahim@pnu.edu.sa; omnia.badr@fagr.bu.edu.eg; drnehal@hotmail.com; rabab.bio@yahoo.com</t>
  </si>
  <si>
    <t>Al Sharbini, Mohammed/AAC-3445-2022; Ebrahim, Hasnaa ALi/AGM-8084-2022; Elsherbiny, Nehal/AAF-9206-2019; Badr, Omnia A./AAW-2036-2021</t>
  </si>
  <si>
    <t>Al Sharbini, Mohammed/0000-0002-0814-1743; Elsherbiny, Nehal/0000-0001-5167-3377; Badr, Omnia A./0000-0002-2318-9630; Sabry, Dina/0000-0002-6720-3385; Madboly, Abdelmonem G./0000-0002-4333-9018; Abo-Rayah, Nashwa/0000-0002-1607-3103</t>
  </si>
  <si>
    <t>10.3390/ijms23115967</t>
  </si>
  <si>
    <t>WOS:000808893700001</t>
  </si>
  <si>
    <t>Aiso, T; Takigami, S; Yamaki, A; Ohnishi, H</t>
  </si>
  <si>
    <t>Aiso, Toshiko; Takigami, Shu; Yamaki, Akiko; Ohnishi, Hiroaki</t>
  </si>
  <si>
    <t>Degradation of serum microRNAs during transient storage of serum samples at 4 degrees C</t>
  </si>
  <si>
    <t>ANNALS OF CLINICAL BIOCHEMISTRY</t>
  </si>
  <si>
    <t>DNA and RNA techniques; tumour markers</t>
  </si>
  <si>
    <t>BIOMARKER</t>
  </si>
  <si>
    <t>Background Numerous studies demonstrate the potential of circulating microRNAs as non-invasive biomarkers for several diseases. Circulating microRNAs are much more stable than mRNAs and remain largely intact even after prolonged incubation at room temperature. However, recent reports show that microRNAs in serum or plasma samples have diverse stabilities. The aim of this pilot study is to evaluate the stabilities of miR-92a, miR-122 and miR-145 in serum during transient storage at 4? before freezing. Methods Serum samples were stored for 24h at 4?, and then RNA was extracted from whole serum or extracellular vesicles in serum. Total Exosome Isolation Reagent (from serum) was used for the fractionation of extracellular vesicles. Reverse transcription and real-time PCR of microRNAs were performed using the TaqMan MicroRNA Assays for miR-92a, miR-122 and miR-145. Results MiR-122 and miR-145 were degraded rapidly in serum; the concentrations dropped to 35.9% (P&lt;0.001) and 29.3% (P&lt;0.0001), respectively. These microRNAs in extracellular vesicles exhibited similar instability; the concentrations were 52.2% (P&lt;0.05) and 56.5% (P&lt;0.01), respectively. On the other hand, no significant degradation of miR-92a was observed (whole serum: P=0.052, extracellular vesicles: P=0.196). Conclusions MiR-122 and miR-145 in serum are extremely unstable and could be degraded during transient storage of serum at 4? prior to freezing.</t>
  </si>
  <si>
    <t>[Aiso, Toshiko; Takigami, Shu; Yamaki, Akiko] Kyorin Univ, Dept Med Technol, Fac Hlth Sci, 5-4-1 Shimorenjaku, Mitaka, Tokyo 1818612, Japan; [Ohnishi, Hiroaki] Kyorin Univ, Dept Lab Med, Sch Med, Mitaka, Tokyo, Japan</t>
  </si>
  <si>
    <t>Kyorin University; Kyorin University</t>
  </si>
  <si>
    <t>Aiso, T (corresponding author), Kyorin Univ, Dept Med Technol, Fac Hlth Sci, 5-4-1 Shimorenjaku, Mitaka, Tokyo 1818612, Japan.</t>
  </si>
  <si>
    <t>taiso@ks.kyorin-u.ac.jp</t>
  </si>
  <si>
    <t>0004-5632</t>
  </si>
  <si>
    <t>1758-1001</t>
  </si>
  <si>
    <t>10.1177/0004563217704233</t>
  </si>
  <si>
    <t>WOS:000419458400022</t>
  </si>
  <si>
    <t>Surmiak, M; Wawrzycka-Adamczyk, K; Kosalka-Wegiel, J; Polanski, S; Sanak, M</t>
  </si>
  <si>
    <t>Surmiak, Marcin; Wawrzycka-Adamczyk, Katarzyna; Kosalka-Wegiel, Joanna; Polanski, Stanisnaw; Sanak, Marek</t>
  </si>
  <si>
    <t>Profile of circulating extracellular vesicles microRNA correlates with the disease activity in granulomatosis with polyangiitis</t>
  </si>
  <si>
    <t>CLINICAL AND EXPERIMENTAL IMMUNOLOGY</t>
  </si>
  <si>
    <t>autoinflammatory disease; vasculitis; gene regulation; neutrophils</t>
  </si>
  <si>
    <t>ANTINEUTROPHIL CYTOPLASMIC ANTIBODIES; TRAPS NETS; EXOSOMES; SERUM; NEUTROPHILS; BIOGENESIS; MIRNA</t>
  </si>
  <si>
    <t>Granulomatosis with polyangiitis is a chronic systemic inflammation of small vessels characterized by circulating anti-proteinase 3 antibodies. MicroRNAs are short transcripts specifically inhibiting protein translation. Neutrophils can release extracellular vesicles (EVs). In this study, we characterized profile of microRNA trafficked by EVs in GPA. Fifty patients with GPA were enrolled in the study, 25 at acute phase and 25 in remission. EVs were isolated from the blood serum, characterized by their number, size distribution. Following unbiased screening for microRNA expression, differentially expressed candidates were measured by quantitative real-time PCR. Circulating DNA-myeloperoxidase complexes and apoptosis-related transcripts in peripheral blood neutrophils were quantified. We identified four differentially expressed microRNAs from EVs in granulomatosis with polyangiitis (GPA). MirRs-223-3p, 664a-3p, and 200b-3p were overexpressed and miR-769-5p suppressed in the disease. A distinction between GPA and healthy controls was the best for miR-223-3p, whereas miR-664a-3p discriminated between active vs. remission of GPA. Correct classification of the disease based on multivariate discriminant analysis was between 92% for acute phase and 85% for all study participants. Bioinformatics tools identified genes transcripts potentially targeted by the microRNAs belonging to pathways of focal adhesion, mTOR signaling and neutrophil extracellular traps formation. Two microRNAs positively correlating with the disease activity were involved in neutrophil extracellular traps formation and apoptosis inhibition. A comprehensive characteristics of microRNAs trafficked in bloodstream inside EVs correlates well with our understanding of the mechanisms of GPA and suggests the importance of EVs in progression of the disease.</t>
  </si>
  <si>
    <t>[Surmiak, Marcin; Kosalka-Wegiel, Joanna; Sanak, Marek] Jagiellonian Univ Med Coll, Dept Internal Med, 8 Skawinska Str, PL-31066 Krakow, Poland; [Wawrzycka-Adamczyk, Katarzyna] Univ Hosp, Clin Rheumatol &amp; Immunol, 2 Jakubowskiego Str, PL-30668 Krakow, Poland; [Polanski, Stanisnaw] Univ Hosp, Div Biochem &amp; Mol Diagnost, 8 Skawinska Str, PL-31066 Krakow, Poland</t>
  </si>
  <si>
    <t>Jagiellonian University; Collegium Medicum Jagiellonian University</t>
  </si>
  <si>
    <t>Sanak, M (corresponding author), Jagiellonian Univ Med Coll, Dept Internal Med, Div Mol Biol &amp; Clin Genet, 8 Skawinska Str, PL-31066 Krakow, Poland.</t>
  </si>
  <si>
    <t>marek.sanak@uj.edu.pl</t>
  </si>
  <si>
    <t>Sanak, Marek/AAV-1628-2021</t>
  </si>
  <si>
    <t>Sanak, Marek/0000-0001-7635-8103</t>
  </si>
  <si>
    <t>0009-9104</t>
  </si>
  <si>
    <t>1365-2249</t>
  </si>
  <si>
    <t>10.1093/cei/uxac022</t>
  </si>
  <si>
    <t>WOS:000784527200001</t>
  </si>
  <si>
    <t>Montermini, L; Meehan, B; Gamier, D; Lee, WJ; Lee, TH; Guha, A; Al-Nedawi, K; Rake, J</t>
  </si>
  <si>
    <t>Montermini, Laura; Meehan, Brian; Gamier, Delphine; Lee, Wan Jin; Lee, Tae Hoon; Guha, Abhijit; Al-Nedawi, Khalid; Rake, Janusz</t>
  </si>
  <si>
    <t>Inhibition of Oncogenic Epidermal Growth Factor Receptor Kinase Triggers Release of Exosome-like Extracellular Vesicles and Impacts Their Phosphoprotein and DNA Content</t>
  </si>
  <si>
    <t>TYROSINE KINASES; EMERGING ROLE; CANCER-CELLS; MICROVESICLES; TISSUE; EXPRESSION; SECRETION; HETEROGENEITY; RESISTANCE; BIOMARKERS</t>
  </si>
  <si>
    <t>Cancer cells emit extracellular vesicles (EVs) containing unique molecular signatures. Here, we report that the oncogenic EGF receptor (EGER) and its inhibitors reprogram phosphoproteomes and cargo of tumor cell-derived EVs. Thus, phosphorylated EGER (P-EGFR) and several other receptor tyrosine kinases can be detected in 1/Vs purified from plasma of tumorbearing mice and from conditioned media of cultured cancer cells. Treatment of EGER-driven tumor cells with second generation EGER kinase inhibitors (EKIs), including CI-1033 and PE-00299804 but not with anti-EGER antibody (Cetuximab) or etoposide, triggers a burst in emission of exosome-like Ells contaming EGER, P-EGER, and genomic DNA (exo-gDNA). The EV release can be attenuated by treatment with inhibitors of exosome biogenesis (GW4869) and caspase pathways (ZVAD). The content of P-EGFR isoforms (Tyr-845, Tyr-1068, and Tyr1173), ERK, and AKT varies between cells and their corresponding EVs and as a function of EKI treatment, Immunocapture experiments reveal the presence of EC-FR and exo-gDNA within the same EV population following EKI treatment. These findings suggest that targeted agents may induce cancer cells to change the EV emission profiles reflective of drug-related therapeutic stress. We suggest that EV-based assays may serve as companion diagnostics for targeted anticancer agents.</t>
  </si>
  <si>
    <t>[Montermini, Laura; Meehan, Brian; Gamier, Delphine; Lee, Wan Jin; Lee, Tae Hoon; Guha, Abhijit; Rake, Janusz] McGill Univ, Montreal Childrens Hosp, Ctr Hlth, Res Inst, Montreal, PQ H4A 3J1, Canada; [Guha, Abhijit] Univ Toronto Hlth Network, Hamilton, ON MSG 1L7, Canada; [Al-Nedawi, Khalid] McMaster Univ, Hamilton, ON L8S 4K1, Canada</t>
  </si>
  <si>
    <t>McGill University; University of Toronto; University Health Network Toronto; McMaster University</t>
  </si>
  <si>
    <t>Rake, J (corresponding author), McGill Univ, Ctr Hlth, Res Inst, Glen Site,1001 Decarie Blvd,Rm EMl 2244, Montreal, PQ H4A 3J1, Canada.</t>
  </si>
  <si>
    <t>Garnier, Delphine/0000-0002-5744-5612; Rak, Janusz/0000-0002-2912-5566</t>
  </si>
  <si>
    <t>OCT 2</t>
  </si>
  <si>
    <t>10.1074/jbc.M115.679217</t>
  </si>
  <si>
    <t>WOS:000362218900038</t>
  </si>
  <si>
    <t>Hannafon, BN; Trigoso, YD; Calloway, CL; Zhao, YD; Lum, DH; Welm, AL; Zhao, ZZJ; Blick, KE; Dooley, WC; Ding, WQ</t>
  </si>
  <si>
    <t>Hannafon, Bethany N.; Trigoso, Yvonne D.; Calloway, Cameron L.; Zhao, Y. Daniel; Lum, David H.; Welm, Alana L.; Zhao, Zhizhuang J.; Blick, Kenneth E.; Dooley, William C.; Ding, W. Q.</t>
  </si>
  <si>
    <t>Plasma exosome microRNAs are indicative of breast cancer</t>
  </si>
  <si>
    <t>BREAST CANCER RESEARCH</t>
  </si>
  <si>
    <t>Exosomes; Breast cancer; microRNA; Biomarker; Patient-derived xenograft</t>
  </si>
  <si>
    <t>CIRCULATING MICRORNAS; SERUM MICRORNA; EXPRESSION; SIGNATURES; IDENTIFICATION; BIOMARKERS; MICROVESICLES; RECURRENCE; CARCINOMA; DIAGNOSIS</t>
  </si>
  <si>
    <t>Background: microRNAs are promising candidate breast cancer biomarkers due to their cancer-specific expression profiles. However, efforts to develop circulating breast cancer biomarkers are challenged by the heterogeneity of microRNAs in the blood. To overcome this challenge, we aimed to develop a molecular profile of microRNAs specifically secreted from breast cancer cells. Our first step towards this direction relates to capturing and analyzing the contents of exosomes, which are small secretory vesicles that selectively encapsulate microRNAs indicative of their cell of origin. To our knowledge, circulating exosome microRNAs have not been well-evaluated as biomarkers for breast cancer diagnosis or monitoring. Methods: Exosomes were collected from the conditioned media of human breast cancer cell lines, mouse plasma of patient-derived orthotopic xenograft models (PDX), and human plasma samples. Exosomes were verified by electron microscopy, nanoparticle tracking analysis, and western blot. Cellular and exosome microRNAs from breast cancer cell lines were profiled by next-generation small RNA sequencing. Plasma exosome microRNA expression was analyzed by qRT-PCR analysis. Results: Small RNA sequencing and qRT-PCR analysis showed that several microRNAs are selectively encapsulated or highly enriched in breast cancer exosomes. Importantly, the selectively enriched exosome microRNA, human miR-1246, was detected at significantly higher levels in exosomes isolated from PDX mouse plasma, indicating that tumor exosome microRNAs are released into the circulation and can serve as plasma biomarkers for breast cancer. This observation was extended to human plasma samples where miR-1246 and miR-21 were detected at significantly higher levels in the plasma exosomes of 16 patients with breast cancer as compared to the plasma exosomes of healthy control subjects. Receiver operating characteristic curve analysis indicated that the combination of plasma exosome miR-1246 and miR-21 is a better indicator of breast cancer than their individual levels. Conclusions: Our results demonstrate that certain microRNA species, such as miR-21 and miR-1246, are selectively enriched in human breast cancer exosomes and significantly elevated in the plasma of patients with breast cancer. These findings indicate a potential new strategy to selectively analyze plasma breast cancer microRNAs indicative of the presence of breast cancer.</t>
  </si>
  <si>
    <t>[Hannafon, Bethany N.; Trigoso, Yvonne D.; Calloway, Cameron L.; Zhao, Zhizhuang J.; Blick, Kenneth E.; Ding, W. Q.] Univ Oklahoma, Hlth Sci Ctr, Dept Pathol, Oklahoma City, OK 73104 USA; [Zhao, Y. Daniel] Univ Oklahoma, Hlth Sci Ctr, Dept Biostat &amp; Epidemiol, Oklahoma City, OK 73104 USA; [Lum, David H.] Oklahoma Med Res Fdn, Oklahoma City, OK 73104 USA; [Welm, Alana L.] Univ Utah, Huntsman Canc Inst, Salt Lake City, UT 84112 USA; [Dooley, William C.] Univ Oklahoma, Dept Surg, Hlth Sci Ctr, Oklahoma City, OK 73104 USA; [Hannafon, Bethany N.; Zhao, Y. Daniel; Zhao, Zhizhuang J.; Dooley, William C.; Ding, W. Q.] Peggy &amp; Charles Stephenson Canc Ctr, Oklahoma City, OK 73104 USA</t>
  </si>
  <si>
    <t>University of Oklahoma System; University of Oklahoma Health Sciences Center; University of Oklahoma System; University of Oklahoma Health Sciences Center; Oklahoma Medical Research Foundation; Huntsman Cancer Institute; Utah System of Higher Education; University of Utah; University of Oklahoma System; University of Oklahoma Health Sciences Center; University of Oklahoma System; University of Oklahoma Health Sciences Center</t>
  </si>
  <si>
    <t>Ding, WQ (corresponding author), Univ Oklahoma, Hlth Sci Ctr, Dept Pathol, Oklahoma City, OK 73104 USA.;Ding, WQ (corresponding author), Peggy &amp; Charles Stephenson Canc Ctr, Oklahoma City, OK 73104 USA.</t>
  </si>
  <si>
    <t>weiqun-ding@ouhsc.edu</t>
  </si>
  <si>
    <t>Hannafon, Bethany N./R-1233-2019</t>
  </si>
  <si>
    <t>Hannafon, Bethany N./0000-0003-0596-9171</t>
  </si>
  <si>
    <t>1465-542X</t>
  </si>
  <si>
    <t>1465-5411</t>
  </si>
  <si>
    <t>SEP 8</t>
  </si>
  <si>
    <t>10.1186/s13058-016-0753-x</t>
  </si>
  <si>
    <t>WOS:000383431300001</t>
  </si>
  <si>
    <t>Barzegar, M; Farsani, MA; Rafiee, M; Amiri, V; Parkhihdeh, S; Rad, F; Mohammadi, MH</t>
  </si>
  <si>
    <t>Barzegar, Mohieddin; Farsani, Mehdi Allahbakhshian; Rafiee, Mohammad; Amiri, Vahid; Parkhihdeh, Sayeh; Rad, Fariba; Mohammadi, Mohammad Hossein</t>
  </si>
  <si>
    <t>Acute promyelocytic leukemia derived extracellular vesicles conserve PML-RAR alpha transcript from storage-inflicted degradation: a stable diagnosis tool in APL patients</t>
  </si>
  <si>
    <t>Extracellular vesicle; Acute promyelocytic leukemia; Liquid biopsy; Normal copy number</t>
  </si>
  <si>
    <t>MINIMAL-RESIDUAL-DISEASE; FUSION GENE TRANSCRIPTS; ARSENIC TRIOXIDE; PLASMA EXOSOME; PCR ANALYSIS; GENOMIC DNA; CELLS; TIME; RELAPSE; QUANTIFICATION</t>
  </si>
  <si>
    <t>The early death, which is more common in acute promyelocytic leukemia (APL) patients rather than other types of acute myelocytic leukemia (AML) highlights the importance of appropriate diagnostic method for early detection of this disease. The low sensitivity of the conventional methods, low tumor burden in some patients, and the need for bone marrow sampling are some of the diagnostic challenges on the way of proper detection of APL. Given these, we aimed to compare the efficacy of extracellular vesicles (EVs), as a diagnostic tool, with the existing methods. RT-PCR, qPCR, and flow cytometry were applied on EVs and their corresponding associated cellular component collected from 18 APL new cases, 23 patients with minimal residual disease (MRD), and NB4 cell line. RT-PCR results were positive in both cellular and vesicular components of all new cases, NB4 cells, and EVs in contrary to MRD cases. Normalized copy numbers (NCN) of PML-RAR alpha were 5100 and 3950 for cell and EVs, respectively (p &lt; 0.05). There was a significant difference in the NCN of PML-RAR alpha between cells and EVs in BM samples. Investigating the effect of storage at room temperature revealed that PML-RAR alpha level was retained near to the baseline level in EVs, but there was a significant reduction in its copy number in the cellular component during 7 days. Taken together, given to the acceptable stability, EVs could be introduced as a non-invasive liquid biopsy that alongside existing methods could remarkably change the paradigm of APL diagnostic approaches.</t>
  </si>
  <si>
    <t>[Barzegar, Mohieddin; Farsani, Mehdi Allahbakhshian; Rafiee, Mohammad; Amiri, Vahid; Mohammadi, Mohammad Hossein] Shahid Beheshti Univ Med Sci, Sch Allied Med Sci, Lab Hematol &amp; Blood Banking, Darband St,Qods Sq, Tehran, Iran; [Farsani, Mehdi Allahbakhshian; Parkhihdeh, Sayeh; Mohammadi, Mohammad Hossein] Shahid Beheshti Univ Med Sci, HSCT Res Ctr, Tehran, Iran; [Rad, Fariba] Iran Univ Med Sci, Sch Allied Med, Dept Hematol &amp; Blood Transfus, Tehran, Iran; [Rad, Fariba] Yasuj Univ Med Sci, Cellular &amp; Mol Res Ctr, Yasuj, Iran</t>
  </si>
  <si>
    <t>Shahid Beheshti University Medical Sciences; Shahid Beheshti University Medical Sciences; Iran University of Medical Sciences; Yasouj University</t>
  </si>
  <si>
    <t>Mohammadi, MH (corresponding author), Shahid Beheshti Univ Med Sci, Sch Allied Med Sci, Lab Hematol &amp; Blood Banking, Darband St,Qods Sq, Tehran, Iran.;Mohammadi, MH (corresponding author), Shahid Beheshti Univ Med Sci, HSCT Res Ctr, Tehran, Iran.</t>
  </si>
  <si>
    <t>Drmohammadi@sbmu.ac.ir</t>
  </si>
  <si>
    <t>Rafiee, Mohammad/ABB-2358-2020; Rafiee, Mohammad/GOP-0867-2022; Mohammadi, Mohammadhossein/S-3769-2018</t>
  </si>
  <si>
    <t>Rafiee, Mohammad/0000-0001-5684-5756; Mohammadi, Mohammadhossein/0000-0002-8697-1371</t>
  </si>
  <si>
    <t>10.1007/s00277-021-04579-9</t>
  </si>
  <si>
    <t>WOS:000670865600001</t>
  </si>
  <si>
    <t>Zeng, AL; Wei, ZY; Yan, W; Yin, JX; Huang, XX; Zhou, X; Li, R; Shen, F; Wu, WN; Wang, XF; You, YP</t>
  </si>
  <si>
    <t>Zeng, Ailiang; Wei, Zhiyun; Yan, Wei; Yin, Jianxing; Huang, Xiaoxu; Zhou, Xu; Li, Rui; Shen, Feng; Wu, Weining; Wang, Xiefeng; You, Yongping</t>
  </si>
  <si>
    <t>Exosomal transfer of miR-151a enhances chemosensitivity to temozolomide in drug-resistant glioblastoma</t>
  </si>
  <si>
    <t>CANCER LETTERS</t>
  </si>
  <si>
    <t>miR-151a; Glioblastoma; Temozolomide; Chemoresistance; Extracellular vesicles</t>
  </si>
  <si>
    <t>DOUBLE-STRAND BREAKS; DNA-REPAIR; GLIOMA; RECOMBINATION; MECHANISMS; PHENOTYPE; PATHWAY</t>
  </si>
  <si>
    <t>Chemoresistance blunts the effect of Temozolomide (TMZ) in the treatment of glioblastoma multiforme (GBM). Whether exosomal transfer of miRNAs derived from TMZ-resistant GBM cells could confer TMZ resistance remains to be determined. qPCR was used to determine miR-151a expression in two TMZ-resistant GBM cell lines. The direct targets of miR-151a were identified by microarray assays, bioinformatics and further RNA chromatin immunoprecipitation (RNA-ChIP) assay. We characterized exosomes from TMZ-resistant cell lines, serum and cerebrospinal fluid (CSF) and determined the effect of exosomes from TMZ-resistant cells on recipient GBM cells. miR-151a loss drove the acquisition of TMZ resistance. Restored miR-151a expression sensitized TMZ-resistant GBM cells via inhibiting XRCC4-mediated DNA repair. TMZ-resistant GBM cells conferred TMZ chemoresistance to recipient TMZ-sensitive cells in an exosomal miR-151a loss-dependent manner. Restoration of exosomal miR151a from donor TMZ-resistant cells abolished the chemoresistance dissemination that was directed by donor TMZ-resistant cells. CSF-derived exosomes contained miRNA signatures reflective of the underlying chemoresistant status of GBMs in terms of miR-151a expression levels. Exosomal miR-151a is not only essentially a lessinvasive 'liquid biopsy' that might predict chemotherapy response, but also represents a promising therapeutic target for therapy-refractory GBMs.</t>
  </si>
  <si>
    <t>[Zeng, Ailiang; Yan, Wei; Yin, Jianxing; Zhou, Xu; Li, Rui; Shen, Feng; Wu, Weining; Wang, Xiefeng; You, Yongping] Nanjing Med Univ, Dept Neurosurg, Affiliated Hosp 1, Nanjing 210029, Jiangsu, Peoples R China; [Zeng, Ailiang; Wei, Zhiyun] Brigham &amp; Womens Hosp, Dept Neurol, 75 Francis St, Boston, MA 02115 USA; [Zeng, Ailiang; Wei, Zhiyun] Harvard Med Sch, Boston, MA 02115 USA; [Huang, Xiaoxu] Nanjing Med Univ, Affiliated Hosp 1, Dept Gen Surg, Nanjing, Jiangsu, Peoples R China</t>
  </si>
  <si>
    <t>Nanjing Medical University; Harvard University; Brigham &amp; Women's Hospital; Harvard University; Harvard Medical School; Nanjing Medical University</t>
  </si>
  <si>
    <t>Yan, W; You, YP (corresponding author), Nanjing Med Univ, Dept Neurosurg, Affiliated Hosp 1, Nanjing 210029, Jiangsu, Peoples R China.</t>
  </si>
  <si>
    <t>neuro.yw@njmu.edu.cn; yypl9@njmu.edu.cn</t>
  </si>
  <si>
    <t>zeng, ailiang/AAF-4498-2020; Wei, Zhiyun/E-2008-2016</t>
  </si>
  <si>
    <t>Wei, Zhiyun/0000-0002-3554-4142; Zeng, Ailiang/0000-0003-2869-9899</t>
  </si>
  <si>
    <t>0304-3835</t>
  </si>
  <si>
    <t>1872-7980</t>
  </si>
  <si>
    <t>10.1016/j.canlet.2018.08.004</t>
  </si>
  <si>
    <t>WOS:000447095000002</t>
  </si>
  <si>
    <t>Rak, J</t>
  </si>
  <si>
    <t>Rak, Janusz</t>
  </si>
  <si>
    <t>Microparticles in Cancer</t>
  </si>
  <si>
    <t>SEMINARS IN THROMBOSIS AND HEMOSTASIS</t>
  </si>
  <si>
    <t>Microparticles; cancer; oncogenes; tissue factor; microvesicles; exosomes; coagulation; angiogenesis</t>
  </si>
  <si>
    <t>CELL-DERIVED MICROPARTICLES; FACTOR-POSITIVE MICROPARTICLES; FIBROBLAST GROWTH FACTOR-2; FLOW-CYTOMETRIC ANALYSIS; TISSUE FACTOR ACTIVITY; MEMBRANE-VESICLES; ENDOTHELIAL-CELLS; HORIZONTAL TRANSFER; PLATELET MICROPARTICLES; BIOLOGICAL SIGNIFICANCE</t>
  </si>
  <si>
    <t>Microparticles (MP) are vesicular structures released from cells upon activation, malignant transformation, stress, or death. MP may be derived from the plasma membrane (shed microvesicles), produced by endosomal pathway (exosomes), or arise from membrane blebs of apoptotic cells. The terms microparticles or microvesicles (MV) are often used as general and interchangeable descriptors of all cellular vesicles, but a more rigorous terminology is still to be established. The cargo of MP/MV consists of proteins, lipids, and nucleic acids (DNA, mRNA, microRNA), all of which may be transferred horizontally between cells. In cancer, oncogenic pathways drive production of MP/MV, and oncoproteins may be incorporated into the cargo of MV (oncosomes). Oncogenic pathways may also stimulate production of MP/MV harboring tissue factor and involved in cancer coagulopathy. In addition, the cargo of MV may include several receptors, antigens, bioactive molecules, and other species capable of stimulating tumor progression, immunotolerance, invasion, angiogenesis, and metastasis. MP emanate not only from tumor cells but also from platelets, endothelium, and inflammatory cells. Indeed, circulating MP/MV harbor molecular information related to cancer-related processes and may serve as a reservoir of prognostic and predictive biomarkers to monitor genetic tumor progression, angiogenesis, thrombosis, and responses to targeted therapeutics.</t>
  </si>
  <si>
    <t>McGill Univ, Montreal Childrens Hosp, Res Inst, Montreal, PQ H3Z 2Z3, Canada</t>
  </si>
  <si>
    <t>McGill University</t>
  </si>
  <si>
    <t>Rak, J (corresponding author), McGill Univ, Montreal Childrens Hosp, Res Inst, 4060 St Catherine W, Montreal, PQ H3Z 2Z3, Canada.</t>
  </si>
  <si>
    <t>0094-6176</t>
  </si>
  <si>
    <t>1098-9064</t>
  </si>
  <si>
    <t>10.1055/s-0030-1267043</t>
  </si>
  <si>
    <t>WOS:000283532800013</t>
  </si>
  <si>
    <t>Scarlotta, M; Simsek, C; Kim, AK</t>
  </si>
  <si>
    <t>Scarlotta, Matthew; Simsek, Cem; Kim, Amy K.</t>
  </si>
  <si>
    <t>Liquid Biopsy in Solid Malignancy</t>
  </si>
  <si>
    <t>GENETIC TESTING AND MOLECULAR BIOMARKERS</t>
  </si>
  <si>
    <t>liquid biopsy; circulating tumor cells; circulating DNA; extracellular vesicles; cancer</t>
  </si>
  <si>
    <t>CIRCULATING TUMOR-CELLS; METASTATIC COLORECTAL-CANCER; PROSTATE-SPECIFIC ANTIGEN; PROGRESSION-FREE SURVIVAL; DETECTING EGFR MUTATIONS; PHASE-III TRIAL; EXTRACELLULAR VESICLES; BREAST-CANCER; LUNG-CANCER; FREE DNA</t>
  </si>
  <si>
    <t>The clinical utility of tissue biopsies in cancer management will continue to expand, especially with the evolving role of targeted therapies. Liquid biopsy refers to testing a patient's biofluid samples such as blood or urine to detect tumor-derived molecules and cells that can be used diagnostically and prognostically in the assessment of cancer. Many proof-of-concept and pilot studies have shown the clinical potential of liquid biopsies as diagnostic and prognostic markers which would provide a surrogate for the conventional solid biopsy. In this review, we focus on three methods of liquid biopsy-circulating tumor cells, extracellular vesicles, and circulating tumor DNA-to provide a landscape view of their clinical applicability in cancer management and research.</t>
  </si>
  <si>
    <t>[Scarlotta, Matthew] Johns Hopkins Sch Med, Dept Med, Baltimore, MD USA; [Simsek, Cem; Kim, Amy K.] Johns Hopkins Sch Med, Div Gastroenterol &amp; Hepatol, 720 Rutland Ave Ross 918, Baltimore, MD 21205 USA</t>
  </si>
  <si>
    <t>Johns Hopkins University; Johns Hopkins Medicine; Johns Hopkins University; Johns Hopkins Medicine</t>
  </si>
  <si>
    <t>Kim, AK (corresponding author), Johns Hopkins Sch Med, Div Gastroenterol &amp; Hepatol, 720 Rutland Ave Ross 918, Baltimore, MD 21205 USA.</t>
  </si>
  <si>
    <t>akim97@jhmi.edu</t>
  </si>
  <si>
    <t>Simsek, Cem/AAG-7290-2019; /AFP-3472-2022</t>
  </si>
  <si>
    <t>/0000-0001-6121-9581; Simsek, Cem/0000-0002-7037-5233</t>
  </si>
  <si>
    <t>1945-0265</t>
  </si>
  <si>
    <t>1945-0257</t>
  </si>
  <si>
    <t>10.1089/gtmb.2018.0237</t>
  </si>
  <si>
    <t>MAR 2019</t>
  </si>
  <si>
    <t>WOS:000462520900001</t>
  </si>
  <si>
    <t>Purcell, E; Owen, S; Prantzalos, E; Radomski, A; Carman, N; Lo, TW; Zeinali, M; Subramanian, C; Ramnath, N; Nagrath, S</t>
  </si>
  <si>
    <t>Purcell, Emma; Owen, Sarah; Prantzalos, Emily; Radomski, Abigail; Carman, Nayri; Lo, Ting-Wen; Zeinali, Mina; Subramanian, Chitra; Ramnath, Nithya; Nagrath, Sunitha</t>
  </si>
  <si>
    <t>Epidermal Growth Factor Receptor Mutations Carried in Extracellular Vesicle-Derived Cargo Mirror Disease Status in Metastatic Non-small Cell Lung Cancer</t>
  </si>
  <si>
    <t>extracellular vesicle (EV); EGFR mutation; longitudinal monitoring; resistance mutation; non-small cell lung cancer; EV-protein; EV-RNA; tyrosine kinase inhibitor (TKI)</t>
  </si>
  <si>
    <t>DNA; QUANTIFICATION; RESISTANCE; EXOSOMES; PLASMA</t>
  </si>
  <si>
    <t>In non-small cell lung cancer (NSCLC), identifying the presence of sensitizing and resistance epidermal growth factor receptor (EGFR) mutations dictates treatment plans. Extracellular vesicles (EVs) are emerging as abundant, stable potential liquid biopsy targets that offer the potential to quantify EGFR mutations in NSCLC patients at the RNA and protein level at multiple points through treatment. In this study, we present a systematic approach for serial mutation profiling of 34 EV samples from 10 metastatic NSCLC patients with known EGFR mutations through treatment. Using western blot and droplet digital PCR (ddPCR), sensitizing (exon 19 deletion, L858R) mutations were detected in EV-Protein, and both sensitizing and resistance (T790M) mutations were quantified in EV-RNA. EGFR mutations were detected in EV-Protein from four patients at multiple time points through treatment. Using EV-RNA, tumor biopsy matched sensitizing mutations were detected in 90% of patients and resistance mutations in 100% of patients. Finally, mutation burden in EV-RNA at each time point was compared to disease status, described as either stable or progressing. For 6/7 patients who were longitudinally monitored through treatment, EV mutation burden mirrored clinical trajectory. When comparing mutation detection between EV-RNA and ctDNA using ddPCR, EVs had a better detection rate for exon 19 deletions and the L858R point mutation. In conclusion, this study demonstrates that integrating EV analysis into liquid biopsy mutation screening has the potential to advance beyond the current standard of care rule in test. The multi-analyte testing allows future integration of EGFR mutation monitoring with additional EV-markers for a comprehensive patient monitoring biomarker.</t>
  </si>
  <si>
    <t>[Purcell, Emma; Owen, Sarah; Prantzalos, Emily; Radomski, Abigail; Carman, Nayri; Lo, Ting-Wen; Zeinali, Mina; Nagrath, Sunitha] Univ Michigan, Dept Chem Engn, Ann Arbor, MI 48109 USA; [Purcell, Emma; Owen, Sarah; Prantzalos, Emily; Radomski, Abigail; Carman, Nayri; Lo, Ting-Wen; Zeinali, Mina; Nagrath, Sunitha] Univ Michigan, Biointerfaces Inst, Ann Arbor, MI 48109 USA; [Subramanian, Chitra] Univ Michigan, Dept Surg, Ann Arbor, MI 48109 USA; [Ramnath, Nithya] Univ Michigan, Dept Internal Med, Ann Arbor, MI 48109 USA; [Ramnath, Nithya] Vet Affairs Ann Arbor Healthcare Syst, Ann Arbor, MI USA; [Nagrath, Sunitha] Univ Michigan, Rogel Canc Ctr, Ann Arbor, MI 48109 USA</t>
  </si>
  <si>
    <t>University of Michigan System; University of Michigan; University of Michigan System; University of Michigan; University of Michigan System; University of Michigan; University of Michigan System; University of Michigan; US Department of Veterans Affairs; Veterans Health Administration (VHA); VA Ann Arbor Healthcare System; University of Michigan System; University of Michigan</t>
  </si>
  <si>
    <t>Nagrath, S (corresponding author), Univ Michigan, Dept Chem Engn, Ann Arbor, MI 48109 USA.;Nagrath, S (corresponding author), Univ Michigan, Biointerfaces Inst, Ann Arbor, MI 48109 USA.;Nagrath, S (corresponding author), Univ Michigan, Rogel Canc Ctr, Ann Arbor, MI 48109 USA.</t>
  </si>
  <si>
    <t>Prantzalos, Emily/0000-0001-8098-5601</t>
  </si>
  <si>
    <t>OCT 6</t>
  </si>
  <si>
    <t>10.3389/fcell.2021.724389</t>
  </si>
  <si>
    <t>WOS:000710115500001</t>
  </si>
  <si>
    <t>Paul, D; Roy, A; Nandy, A; Datta, B; Borar, P; Pal, SK; Senapati, D; Rakshit, T</t>
  </si>
  <si>
    <t>Paul, Debashish; Roy, Anuradha; Nandy, Arpita; Datta, Brateen; Borar, Prateeka; Pal, Samir Kumar; Senapati, Dulal; Rakshit, Tatini</t>
  </si>
  <si>
    <t>Identification of Biomarker Hyaluronan on Colon Cancer Extracellular Vesicles Using Correlative AFM and Spectroscopy</t>
  </si>
  <si>
    <t>JOURNAL OF PHYSICAL CHEMISTRY LETTERS</t>
  </si>
  <si>
    <t>COLORECTAL-CANCER; HUMAN-SALIVA; EXOSOMES; CD44; ACID; EXPRESSION; DNA</t>
  </si>
  <si>
    <t>Extracellular vesicles (EVs), naturally occurring nanosized vesicles secreted from cells, are essential for intercellular communication. They carry unique biomolecules on the surface or interior that are of great interest as biomarkers for various pathological conditions such as cancer. In this work, we use high-resolution atomic force microscopy (AFM) and spectroscopy (AFS) techniques to demonstrate differences between EVs derived from colon cancer cells and colon epithelial cells at the single-vesicle level. We observe that EV populations are significantly increased in the cancer cell media compared to the normal cell EVs. We show that both EVs display an EV marker, CD9, while EVs derived from the cancer cells are slightly higher in density. Hyaluronan (HA) is a nonsulfated glycosaminoglycan linked to malignant tumor growth according to recent reports. Interestingly, at the single-vesicle level, colon cancer EVs exhibit significantly increased HA surface densities compared to the normal EVs. Spectroscopic measurements such as Fourier transform infrared (FTIR), circular dichroism (CD), and Raman spectroscopy unequivocally support the AFM and AFS measurements. To our knowledge, it represents the first report of detecting HA-coated EVs as a potential colon cancer biomarker. Taken together, this sensitive approach will be useful in identifying biomarkers in the early stages of detection and evaluation of cancer.</t>
  </si>
  <si>
    <t>[Paul, Debashish; Datta, Brateen; Pal, Samir Kumar; Rakshit, Tatini] SN Bose Natl Ctr Basic Sci, Dept Chem Biol &amp; Macromol Sci, Kolkata 700106, India; [Roy, Anuradha; Nandy, Arpita; Senapati, Dulal] Saha Inst Nucl Phys, Chem Sci Div, Kolkata 700064, India; [Borar, Prateeka] Bose Inst, Dept Biophys, Centenary Campus, Kolkata 700054, India</t>
  </si>
  <si>
    <t>Department of Science &amp; Technology (India); SN Bose National Centre for Basic Science (SNBNCBS); Saha Institute of Nuclear Physics; Department of Science &amp; Technology (India); Bose Institute</t>
  </si>
  <si>
    <t>Rakshit, T (corresponding author), SN Bose Natl Ctr Basic Sci, Dept Chem Biol &amp; Macromol Sci, Kolkata 700106, India.</t>
  </si>
  <si>
    <t>tatini.chem19@gmail.com</t>
  </si>
  <si>
    <t>Paul, Debashish/0000-0002-6764-5052; Senapati, Dulal/0000-0001-5002-4631; Datta, Brateen/0000-0002-7332-7413; Rakshit, Tatini/0000-0002-4182-9240</t>
  </si>
  <si>
    <t>1948-7185</t>
  </si>
  <si>
    <t>JUL 16</t>
  </si>
  <si>
    <t>10.1021/acs.jpclett.0c01018</t>
  </si>
  <si>
    <t>Chemistry, Physical; Nanoscience &amp; Nanotechnology; Materials Science, Multidisciplinary; Physics, Atomic, Molecular &amp; Chemical</t>
  </si>
  <si>
    <t>WOS:000551546100027</t>
  </si>
  <si>
    <t>Huang, XY; Yuan, TZ; Tschannen, M; Sun, ZF; Jacob, H; Du, MJ; Liang, MH; Dittmar, RL; Liu, Y; Liang, MY; Kohli, M; Thibodeau, SN; Boardman, L; Wang, L</t>
  </si>
  <si>
    <t>Huang, Xiaoyi; Yuan, Tiezheng; Tschannen, Michael; Sun, Zhifu; Jacob, Howard; Du, Meijun; Liang, Meihua; Dittmar, Rachel L.; Liu, Yong; Liang, Mingyu; Kohli, Manish; Thibodeau, Stephen N.; Boardman, Lisa; Wang, Liang</t>
  </si>
  <si>
    <t>Characterization of human plasma-derived exosomal RNAs by deep sequencing</t>
  </si>
  <si>
    <t>Exosome; microRNA; Next generation sequencing; Plasma; Biomarker</t>
  </si>
  <si>
    <t>DIAGNOSTIC BIOMARKERS; CELL-DIFFERENTIATION; CEREBROSPINAL-FLUID; PROTEOMIC ANALYSIS; PROSTATE-CANCER; DENDRITIC CELLS; MESSENGER-RNAS; GASTRIC-CANCER; OVARIAN-CANCER; HUMAN SALIVA</t>
  </si>
  <si>
    <t>Background: Exosomes, endosome-derived membrane microvesicles, contain specific RNA transcripts that are thought to be involved in cell-cell communication. These RNA transcripts have great potential as disease biomarkers. To characterize exosomal RNA profiles systemically, we performed RNA sequencing analysis using three human plasma samples and evaluated the efficacies of small RNA library preparation protocols from three manufacturers. In all we evaluated 14 libraries (7 replicates). Results: From the 14 size-selected sequencing libraries, we obtained a total of 101.8 million raw single-end reads, an average of about 7.27 million reads per library. Sequence analysis showed that there was a diverse collection of the exosomal RNA species among which microRNAs (miRNAs) were the most abundant, making up over 42.32% of all raw reads and 76.20% of all mappable reads. At the current read depth, 593 miRNAs were detectable. The five most common miRNAs (miR-99a-5p, miR-128, miR-124-3p, miR-22-3p, and miR-99b-5p) collectively accounted for 48.99% of all mappable miRNA sequences. MiRNA target gene enrichment analysis suggested that the highly abundant miRNAs may play an important role in biological functions such as protein phosphorylation, RNA splicing, chromosomal abnormality, and angiogenesis. From the unknown RNA sequences, we predicted 185 potential miRNA candidates. Furthermore, we detected significant fractions of other RNA species including ribosomal RNA (9.16% of all mappable counts), long non-coding RNA (3.36%), piwi-interacting RNA (1.31%), transfer RNA (1.24%), small nuclear RNA (0.18%), and small nucleolar RNA (0.01%); fragments of coding sequence (1.36%), 5' untranslated region (0.21%), and 3' untranslated region (0.54%) were also present. In addition to the RNA composition of the libraries, we found that the three tested commercial kits generated a sufficient number of DNA fragments for sequencing but each had significant bias toward capturing specific RNAs. Conclusions: This study demonstrated that a wide variety of RNA species are embedded in the circulating vesicles. To our knowledge, this is the first report that applied deep sequencing to discover and characterize profiles of plasma-derived exosomal RNAs. Further characterization of these extracellular RNAs in diverse human populations will provide reference profiles and open new doors for the development of blood-based biomarkers for human diseases.</t>
  </si>
  <si>
    <t>[Huang, Xiaoyi; Yuan, Tiezheng; Du, Meijun; Dittmar, Rachel L.; Wang, Liang] Med Coll Wisconsin, Dept Pathol, Milwaukee, WI 53226 USA; [Huang, Xiaoyi; Yuan, Tiezheng; Du, Meijun; Dittmar, Rachel L.; Wang, Liang] Med Coll Wisconsin, Ctr Canc, Milwaukee, WI 53226 USA; [Tschannen, Michael; Jacob, Howard] Med Coll Wisconsin, Human Mol Genet Ctr, Milwaukee, WI 53226 USA; [Sun, Zhifu] Mayo Clin, Div Biomed Stat &amp; Informat, Rochester, MN 55905 USA; [Liang, Meihua] Harbin Med Univ, Affiliated Hosp 2, Dept Endocrinol, Harbin 150086, Peoples R China; [Liu, Yong; Liang, Mingyu] Med Coll Wisconsin, Dept Physiol, Milwaukee, WI 53226 USA; [Kohli, Manish; Boardman, Lisa] Mayo Clin, Dept Oncol, Rochester, MN 55905 USA; [Thibodeau, Stephen N.] Mayo Clin, Dept Lab Med &amp; Pathol, Rochester, MN 55905 USA</t>
  </si>
  <si>
    <t>Medical College of Wisconsin; Medical College of Wisconsin; Medical College of Wisconsin; Mayo Clinic; Harbin Medical University; Medical College of Wisconsin; Mayo Clinic; Mayo Clinic</t>
  </si>
  <si>
    <t>Wang, L (corresponding author), Med Coll Wisconsin, Dept Pathol, Milwaukee, WI 53226 USA.</t>
  </si>
  <si>
    <t>liwang@mcw.edu</t>
  </si>
  <si>
    <t>Kohli, Manish/AAN-8862-2021; Liang, Mingyu/A-2331-2008</t>
  </si>
  <si>
    <t>Dittmar, Rachel/0000-0002-0567-2450; Sun, Zhifu/0000-0001-8461-7523; Huang, Xiaoyi/0000-0002-2355-5688</t>
  </si>
  <si>
    <t>MAY 10</t>
  </si>
  <si>
    <t>10.1186/1471-2164-14-319</t>
  </si>
  <si>
    <t>WOS:000318944200001</t>
  </si>
  <si>
    <t>Fichtel, P; von Bonin, M; Kuhnert, R; Moebus, K; Bornhaeuser, M; Wobus, M</t>
  </si>
  <si>
    <t>Fichtel, Pascal; von Bonin, Malte; Kuhnert, Robert; Moebus, Kristin; Bornhaeuser, Martin; Wobus, Manja</t>
  </si>
  <si>
    <t>Mesenchymal Stromal Cell-Derived Extracellular Vesicles Modulate Hematopoietic Stem and Progenitor Cell Viability and the Expression of Cell Cycle Regulators in an Age-dependent Manner</t>
  </si>
  <si>
    <t>mesenchymal stromal cells; hematopoiesis; bone marrow; extracellular vesicles; aging; hematopoietic stem cells</t>
  </si>
  <si>
    <t>BONE-MARROW; DONOR CHARACTERISTICS; TRANSPLANTATION; INCREASES; CAPACITY; SURVIVAL</t>
  </si>
  <si>
    <t>Aging of the hematopoietic system is characterized by an expansion of hematopoietic stem and progenitor cells (HSPCs) with reduced capacity for engraftment, self-renewal, and lymphoid differentiation, resulting in myeloid-biased hematopoiesis. This process is mediated by both HSPC intrinsic and extrinsic factors, e.g., the stromal environment. A relevant cellular component of the bone marrow (BM) microenvironment are mesenchymal stromal cells (MSCs) which regulate fate and differentiation of HSPCs. The bi-directional communication with HSPCs is mediated either by direct cell-cell contacts or by extracellular vesicles (EVs) which carry bioactive substances such as small RNA, DNA, lipids and proteins. So far, the impact of MSC-derived EVs on human hematopoietic aging is poorly investigated. BM MSCs were isolated from young (n = 3, median age: 22 years) and aged (n = 3, median age: 70 years) donors and the EVs were isolated after culturing the confluent cell layer in serum-free medium for 48 h. CD34(+) HSPCs were purified from peripheral blood of healthy donors (n = 3, median age: 65 years) by magnetic sorting. Nanoparticle tracking analysis (NTA), transmission electron microscopy (TEM) and western blot detection of EV markers CD63, CD81 and Flotillin-1 revealed no significant differences between young and aged MSC-EVs. Interestingly, young MSCs secreted a significantly higher miRNA concentration than aged cells. However, the amount of distinct miRNAs such as miR-29a and miR-34a was significantly higher in aged MSC-EVs. HSPCs incubated with young EVs showed a significant increase in cell number and a higher viability. The expression of the tumor suppressors PTEN, a known target of mir-29a, and CDKN2A was increased in HSPCs incubated with young EVs. The clonogenic assay demonstrated a decreased colony number of CFU-GM after treatment with young EVs and an increased number of BFU-E/CFU-E after incubation with aged MSC-EVs. Xenogenic transplantation experiments showed no significant differences concerning the engraftment of lymphoid or myeloid cell compartments, but the overall human chimerism 8-16 weeks after transplantation was higher after EV treatment. In conclusion, our data suggest that HSPC characteristics such as cell cycle activity and clonogenicity can be modulated by MSC-derived EVs. Further studies have to elucidate the potential therapeutic relevance of our findings.</t>
  </si>
  <si>
    <t>[Fichtel, Pascal; von Bonin, Malte; Kuhnert, Robert; Moebus, Kristin; Bornhaeuser, Martin; Wobus, Manja] Tech Univ Dresden, Univ Hosp Carl Gustav Carus, Dept Med 1, Dresden, Germany; [Bornhaeuser, Martin; Wobus, Manja] Tech Univ Dresden, Ctr Regenerat Therapies, Dresden, Germany</t>
  </si>
  <si>
    <t>Technische Universitat Dresden; Carl Gustav Carus University Hospital; Technische Universitat Dresden</t>
  </si>
  <si>
    <t>Wobus, M (corresponding author), Tech Univ Dresden, Univ Hosp Carl Gustav Carus, Dept Med 1, Dresden, Germany.;Wobus, M (corresponding author), Tech Univ Dresden, Ctr Regenerat Therapies, Dresden, Germany.</t>
  </si>
  <si>
    <t>manja.wobus@ukdd.de</t>
  </si>
  <si>
    <t>JUN 1</t>
  </si>
  <si>
    <t>10.3389/fbioe.2022.892661</t>
  </si>
  <si>
    <t>WOS:000811647200001</t>
  </si>
  <si>
    <t>Perez, A; Loizaga, A; Arceo, R; Lacasa, I; Rabade, A; Zorroza, K; Mosen-Ansorena, D; Gonzalez, E; Aransay, AM; Falcon-Perez, JM; Unda-Urzaiz, M; Royo, F</t>
  </si>
  <si>
    <t>Perez, Amparo; Loizaga, Ana; Arceo, Raquel; Lacasa, Isabel; Rabade, Ainara; Zorroza, Kerman; Mosen-Ansorena, David; Gonzalez, Esperanza; Aransay, Ana M.; Falcon-Perez, Juan M.; Unda-Urzaiz, Miguel; Royo, Felix</t>
  </si>
  <si>
    <t>A Pilot Study on the Potential of RNA-Associated to Urinary Vesicles as a Suitable Non-Invasive Source for Diagnostic Purposes in Bladder Cancer</t>
  </si>
  <si>
    <t>extracellular vesicles; bladder cancer; gene expression analysis; LASS2; GALNT1; ARHGEF39; FOXO3</t>
  </si>
  <si>
    <t>CERAMIDE SYNTHASES; TUMOR-MARKERS; EXPRESSION; BIOMARKERS; IDENTIFICATION; STATISTICS; PROGNOSIS; DISCOVERY; CARCINOMA; MICRORNA</t>
  </si>
  <si>
    <t>Bladder cancer is one of the most common cancers and, together with prostate carcinoma, accounts for the majority of the malignancies of the genitourinary tract. Since prognosis ameliorates with early detection, it will be beneficial to have a repertoire of diagnostic markers that could complement the current diagnosis protocols. Recently, cell- secreted extracellular vesicles have received great interest as a source of low invasive disease biomarkers because they are found in many body fluids, including urine. The current work describes a pilot study to generate an array- based catalogue of mRNA associated to urinary vesicles, and also a comparison with samples obtained from bladder cancer patients. After an analysis of presence/absence of transcripts in bladder cancer EVs, a list of genes was selected for further validation using PCR technique. We found four genes differentially expressed in cancer samples. LASS2 and GALNT1 were present in cancer patients, while ARHGEF39 and FOXO3 were found only in non-cancer urinary vesicles. Previous studies have pointed to the involvement of those genes in tumour progression and metastasis.</t>
  </si>
  <si>
    <t>[Perez, Amparo; Loizaga, Ana; Arceo, Raquel; Lacasa, Isabel; Rabade, Ainara; Unda-Urzaiz, Miguel] Basurto Univ Hosp, Urol Serv, Bilbao 48013, Spain; [Zorroza, Kerman] Basurto Hosp, Basque Fdn Hlth Innovat &amp; Res BIOEF, DNA Lab, Bilbao 48013, Bizkaia, Spain; [Mosen-Ansorena, David; Aransay, Ana M.] Bizkaia Technol Pk, CIBERehd, CIC bioGUNE, Genome Anal Platform, Derio 48160, Bizkaia, Spain; [Gonzalez, Esperanza; Falcon-Perez, Juan M.; Royo, Felix] Bizkaia Technol Pk, CIBERehd, CIC bioGUNE, Metabol Unit, Derio 48160, Bizkaia, Spain; [Falcon-Perez, Juan M.] Basque Fdn Sci, Ikerbasque, Bilbao 48011, Bizkaia, Spain</t>
  </si>
  <si>
    <t>Basurto Hospital; Basurto Hospital; CIBER - Centro de Investigacion Biomedica en Red; CIBEREHD; CIC bioGUNE; CIBER - Centro de Investigacion Biomedica en Red; CIBEREHD; CIC bioGUNE; Basque Foundation for Science</t>
  </si>
  <si>
    <t>Royo, F (corresponding author), Bizkaia Technol Pk, CIBERehd, CIC bioGUNE, Metabol Unit, Derio 48160, Bizkaia, Spain.</t>
  </si>
  <si>
    <t>amparo.perezfernandez@osakidetza.net; ana.loizagairiarte@osakidetza.net; raquel.arceosantiago@osakidetza.net; i_lacasa@hotmail.com; ainarabade@hotmail.com; kerman.zorrozafernandez@osakidetza.net; dmosen.ng@cicbiogune.es; egonzalez@cicbiogune.es; amaransay@cicbiogune.es; jfalcon@cicbiogune.es; jesusmiguel.undaurzaiz@osakidetza.net; froyo.ciberehd@cicbiogune.es</t>
  </si>
  <si>
    <t>unda, miguel/AAP-8322-2021; Aransay, Ana M./F-8086-2011; González, Esperanza/H-5450-2015; Royo, Felix/ABE-8064-2021; González, Esperanza/AAK-4097-2020; Falcon-Perez, Juan M/F-5920-2011</t>
  </si>
  <si>
    <t>unda, miguel/0000-0003-2849-9459; Aransay, Ana M./0000-0002-8271-612X; González, Esperanza/0000-0002-3831-4596; Royo, Felix/0000-0001-9769-4165; González, Esperanza/0000-0002-3831-4596; Falcon-Perez, Juan M/0000-0003-3133-0670</t>
  </si>
  <si>
    <t>10.3390/cancers6010179</t>
  </si>
  <si>
    <t>WOS:000209950500011</t>
  </si>
  <si>
    <t>Glennon, KI; Maralani, M; Abdian, N; Paccard, A; Montermini, L; Nam, AJ; Arseneault, M; Staffa, A; Jandaghi, P; Meehan, B; Brimo, F; Tanguay, S; Rak, J; Riazalhosseini, Y</t>
  </si>
  <si>
    <t>Glennon, Kate, I; Maralani, Mahafarin; Abdian, Narges; Paccard, Antoine; Montermini, Laura; Nam, Alice Jisoo; Arseneault, Madeleine; Staffa, Alfredo; Jandaghi, Pouria; Meehan, Brian; Brimo, Fadi; Tanguay, Simon; Rak, Janusz; Riazalhosseini, Yasser</t>
  </si>
  <si>
    <t>Rational Development of Liquid Biopsy Analysis in Renal Cell Carcinoma</t>
  </si>
  <si>
    <t>renal cell carcinoma; liquid biopsy; NGS; cfDNA; ctDNA; extracellular vesicles; exosomes</t>
  </si>
  <si>
    <t>CIRCULATING TUMOR DNA; CANCER; HETEROGENEITY; GENOME; PERFORMANCE; EVOLUTION; THERAPY</t>
  </si>
  <si>
    <t>Simple Summary: Among patients affected by renal cell carcinoma (RCC), the most common type of kidney cancer, it remains difficult to identify those who are at high risk for relapse or metastasis. This is in part due to the absence of reliable clinical biomarkers and robust methods to capture them. The aim of our study was to develop an improved assay to capture prognostic genomic biomarkers in circulating tumor DNA (ctDNA) in RCC. For this purpose, we first established a next generation sequencing (NGS) assay, targeting genes that are tailored for RCC and that are largely excluded from commercially available assays. Next, we showed the reliable performance of this assay to detect prognostic gene mutations in tumor DNA isolated from plasma, and from extracellular vesicles. Thus, our study provides a resource to facilitate ctDNA analysis for precision medicine in RCC. Renal cell carcinoma (RCC) is known for its variable clinical behavior and outcome, including heterogeneity in developing relapse or metastasis. Recent data highlighted the potential of somatic mutations as promising biomarkers for risk stratification in RCC. Likewise, the analysis of circulating tumor DNA (ctDNA) for such informative somatic mutations (liquid biopsy) is considered an important advance for precision oncology in RCC, allowing to monitor molecular disease evolution in real time. However, our knowledge about the utility of ctDNA analysis in RCC is limited, in part due to the lack of RCC-appropriate assays for ctDNA analysis. Here, by interrogating different blood compartments in xenograft models, we identified plasma cell-free (cf) DNA and extracellular vesicles (ev) DNA enriched for RCC-associated ctDNA. Additionally, we developed sensitive targeted sequencing and bioinformatics workflows capable of detecting somatic mutations in RCC-relevant genes with allele frequencies &gt;= 0.5%. Applying this assay to patient-matched tumor and liquid biopsies, we captured tumor mutations in cf- and ev-DNA fractions isolated from the blood, highlighting the potentials of both fractions for ctDNA analysis. Overall, our study presents an RCC-appropriate sequencing assay and workflow for ctDNA analysis and provides a proof of principle as to the feasibility of detecting tumor-specific mutations in liquid biopsy in RCC patients.</t>
  </si>
  <si>
    <t>[Glennon, Kate, I; Maralani, Mahafarin; Paccard, Antoine; Nam, Alice Jisoo; Arseneault, Madeleine; Staffa, Alfredo; Jandaghi, Pouria; Riazalhosseini, Yasser] McGill Univ, McGill Genome Ctr, 740 Doctor Penfield Ave, Montreal, PQ H3A 0G1, Canada; [Glennon, Kate, I; Maralani, Mahafarin; Jandaghi, Pouria; Riazalhosseini, Yasser] McGill Univ, Dept Human Genet, 1205 Doctor Penfield Ave, Montreal, PQ H3A 1B1, Canada; [Maralani, Mahafarin; Abdian, Narges; Montermini, Laura; Meehan, Brian; Rak, Janusz] McGill Univ, Hlth Ctr, Res Inst, Montreal, PQ H4A 3J1, Canada; [Brimo, Fadi] McGill Univ, Dept Pathol, Montreal, PQ H3A 2B4, Canada; [Tanguay, Simon] McGill Univ, Div Urol, Montreal, PQ H4A 3J1, Canada</t>
  </si>
  <si>
    <t>McGill University; McGill University; McGill University; McGill University; McGill University</t>
  </si>
  <si>
    <t>Riazalhosseini, Y (corresponding author), McGill Univ, McGill Genome Ctr, 740 Doctor Penfield Ave, Montreal, PQ H3A 0G1, Canada.;Riazalhosseini, Y (corresponding author), McGill Univ, Dept Human Genet, 1205 Doctor Penfield Ave, Montreal, PQ H3A 1B1, Canada.</t>
  </si>
  <si>
    <t>kate.glennon@mail.mcgill.ca; mah_afarin@hotmail.com; nargesabdian@gmail.com; antoine.paccard@mcgill.ca; laura-m@sympatico.ca; ji.nam@mail.mcgill.ca; madeleine.arseneault@mcgill.ca; astaffa@gmail.com; pouria.jandaghi@mail.mcgill.ca; bmeehan82@hotmail.com; fadi.brimo@mcgill.ca; simon.tanguay@mcgill.ca; janusz.rak@mcgill.ca; yasser.riazalhosseini@mcgill.ca</t>
  </si>
  <si>
    <t>Paccard, Antoine/0000-0003-0738-5540; Glennon, Kate/0000-0002-4923-0822</t>
  </si>
  <si>
    <t>10.3390/cancers13225825</t>
  </si>
  <si>
    <t>WOS:000773917700039</t>
  </si>
  <si>
    <t>Liu, WL; Li, JP; Wu, YX; Xing, S; Lai, YZ; Zhang, G</t>
  </si>
  <si>
    <t>Liu, Wanli; Li, Jianpei; Wu, Yixian; Xing, Shan; Lai, Yanzhen; Zhang, Ge</t>
  </si>
  <si>
    <t>Target-induced proximity ligation triggers recombinase polymerase amplification and transcription-mediated amplification to detect tumor-derived exosomes in nasopharyngeal carcinoma with high sensitivity</t>
  </si>
  <si>
    <t>Tumor-derived exosomes; Proximity ligation assay; Recombinase polymerase amplification; Transcription-mediated amplification; Nasopharyngeal carcinoma</t>
  </si>
  <si>
    <t>CANCER; ASSAY; BIOMARKERS; HYBRIDIZATION; DIAGNOSIS; PROTEINS; PLASMA; CHIP</t>
  </si>
  <si>
    <t>Tumor-derived exosomes (TEXs) are extracellular vesicles that are continuously released into the blood by tumor cells and carry specific surface markers of the original tumor cells. Substantial evidence has implicated TEXs as attractive diagnostic markers for cancer. However, the detection of TEXs in blood at an early tumor stage is challenging due to their very low concentration. Here, we established a method called PLA-RPA-TMA assay that allows TEXs to be detected with high sensitivity and specificity. Based on two proximity ligation assay (PLA) probes that recognize a biomarker on a TEX, we generated a unique surrogate DNA signal for the specific biomarker, which was synchronously amplified twice by recombinase polymerase amplification (RPA) coupled with transcription-mediated amplification (TMA), and then the products of the RPA-TMA reaction were quantitatively detected using a gold nanoparticle-based colorimetric assay. We established proof-of-concept evidence for this approach using TEXs from nasopharyngeal carcinoma (NPC) cells, with a detection limit of 102 particles/mL, and reported the measurement of plasma Epstein-Barr virus latent membrane protein 1 (LPM1)-positive (LMP1(+), accuracy: 0.956) and epidermal growth factor receptor (EGFR)-positive (EGFR(+), accuracy: 0.906) TEXs as potent early diagnostic biomarkers for NPC.</t>
  </si>
  <si>
    <t>[Liu, Wanli; Li, Jianpei; Xing, Shan; Lai, Yanzhen] Sun Yat Sen Univ, Canc Ctr, Dept Clin Lab Med, State Key Lab Oncol Southern China, Guangzhou 510080, Guangdong, Peoples R China; [Wu, Yixian; Zhang, Ge] Sun Yat Sen Univ, Sch Pharmaceut Sci, 132 Waihuandong Rd, Guangzhou 510006, Guangdong, Peoples R China</t>
  </si>
  <si>
    <t>State Key Lab Oncology South China; Sun Yat Sen University; Sun Yat Sen University</t>
  </si>
  <si>
    <t>Zhang, G (corresponding author), Sun Yat Sen Univ, Sch Pharmaceut Sci, 132 Waihuandong Rd, Guangzhou 510006, Guangdong, Peoples R China.</t>
  </si>
  <si>
    <t>zhangge@mail.sysu.edu.cn</t>
  </si>
  <si>
    <t>Lai, Yanzhen/0000-0003-3217-0357</t>
  </si>
  <si>
    <t>10.1016/j.bios.2017.11.033</t>
  </si>
  <si>
    <t>WOS:000424176600027</t>
  </si>
  <si>
    <t>Yang, J; McDowell, A; Kim, EK; Seo, H; Yum, K; Lee, WH; Jee, YK; Kim, YK</t>
  </si>
  <si>
    <t>Yang, Jinho; McDowell, Andrea; Kim, Eun Kyoung; Seo, Hochan; Yum, Kyujin; Lee, Won Hee; Jee, Young-Koo; Kim, Yoon-Keun</t>
  </si>
  <si>
    <t>Consumption of a Leuconostoc holzapfelii-enriched synbiotic beverage alters the composition of the microbiota and microbial extracellular vesicles</t>
  </si>
  <si>
    <t>GUT MICROBIOTA; LIVER AMINOTRANSFERASES; PROBIOTICS; ACID; BACTEROIDES; METABOLISM; PREBIOTICS; MORTALITY; INJURY; RISK</t>
  </si>
  <si>
    <t>Synbiotics, the combination of probiotics and prebiotics, are known to confer health benefits via intestinal microbiota modulation. However, significant intestinal microbiota alterations can be difficult to determine in intervention studies based on solely bacterial stool metagenomic analysis. Intestinal microbiota constituents secrete 20-200-nm-sized extracellular vesicles (EVs) containing microbial DNA, proteins, and lipids that are distributed throughout the body, providing an alternative target for microbiota metagenomic analysis. Here, we determined the impact of a synbiotic beverage enriched with the kimchi-derived bacterium Leuconostoc holzapfelii (L. holzapfelii) on the intestinal microbiota and local and circulatory microbiota-derived EV composition of healthy Korean adults. We isolated microbial DNA from stool bacteria, stool EVs, and urinary EVs and conducted next-generation sequencing of the 16S rDNA V3-V4 regions before and after synbiotic consumption. The species diversity of circulating urinary EVs was significantly increased after synbiotic consumption, while stool bacterial and EV diversity remained unchanged. Furthermore, we found that while a single genus was decreased among the stool bacteria constituents, stool EVs and urinary EVs showed significant alterations in four and eight genera, respectively. Blood chemistry assays revealed that synbiotic consumption significantly lowered aspartate aminotransferase (AST) serum levels, particularly in subjects with starting levels above the normal range (&gt;40 UI/L). In conclusion, the L. holzapfelii-enriched synbiotic beverage greatly altered serum AST levels and microbial EV composition in urine and stool, while only minor changes were observed in the gut microbiota composition. Based on these findings, we suggest the potential use of microbiota-derived EVs as surrogate markers in future predictive diagnosis studies.</t>
  </si>
  <si>
    <t>[Yang, Jinho; McDowell, Andrea; Kim, Eun Kyoung; Seo, Hochan; Lee, Won Hee; Kim, Yoon-Keun] MD Healthcare Inc, Seoul, South Korea; [Yang, Jinho] Korea Univ, Dept Hlth &amp; Safety Convergence Sci, Seoul, South Korea; [Yum, Kyujin] Coenbio Co LTD, Seoul, South Korea; [Jee, Young-Koo] Dankook Univ, Dept Internal Med, Coll Med, Cheonan, South Korea</t>
  </si>
  <si>
    <t>Korea University; Dankook University</t>
  </si>
  <si>
    <t>Kim, YK (corresponding author), MD Healthcare Inc, Seoul, South Korea.;Jee, YK (corresponding author), Dankook Univ, Dept Internal Med, Coll Med, Cheonan, South Korea.</t>
  </si>
  <si>
    <t>ykjee@dankook.ac.kr; ykkim@mdhc.kr</t>
  </si>
  <si>
    <t>Yang, Jinho/0000-0001-7207-6846; Jee, Young-Koo/0000-0001-5800-8038; Lee, Won Hee/0000-0003-0162-4176</t>
  </si>
  <si>
    <t>10.1038/s12276-019-0288-1</t>
  </si>
  <si>
    <t>WOS:000479316300001</t>
  </si>
  <si>
    <t>Antoury, L; Hu, NY; Balaj, L; Das, S; Georghiou, S; Darras, B; Clark, T; Breakefield, XO; Wheeler, TM</t>
  </si>
  <si>
    <t>Antoury, Layal; Hu, Ningyan; Balaj, Leonora; Das, Sudeshna; Georghiou, Sofia; Darras, Basil; Clark, Tim; Breakefield, Xandra O.; Wheeler, Thurman M.</t>
  </si>
  <si>
    <t>Analysis of extracellular mRNA in human urine reveals splice variant biomarkers of muscular dystrophies</t>
  </si>
  <si>
    <t>MYOTONIC-DYSTROPHY; PRINCIPAL COMPONENT; PROSTATE-CANCER; MOUSE MODELS; VESICLES; REPEAT; CELLS; IDENTIFICATION; TRANSCRIPTS; EXPANSION</t>
  </si>
  <si>
    <t>Urine contains extracellular RNA (exRNA) markers of urogenital cancers. However, the capacity of genetic material in urine to identify systemic diseases is unknown. Here we describe exRNA splice products in human urine as a source of biomarkers for the two most common forms of muscular dystrophies, myotonic dystrophy (DM) and Duchenne muscular dystrophy (DMD). Using a training set, RT-PCR, droplet digital PCR, and principal component regression, we identify ten transcripts that are spliced differently in urine exRNA from patients with DM type 1 (DM1) as compared to unaffected or disease controls, form a composite biomarker, and develop a predictive model that is 100% accurate in our independent validation set. Urine also contains mutation-specific DMD mRNAs that confirm exon-skipping activity of the antisense oligonucleotide drug eteplirsen. Our results establish that urine mRNA splice variants can be used to monitor systemic diseases with minimal or no clinical effect on the urinary tract.</t>
  </si>
  <si>
    <t>[Antoury, Layal; Hu, Ningyan; Balaj, Leonora; Das, Sudeshna; Clark, Tim; Breakefield, Xandra O.; Wheeler, Thurman M.] Massachusetts Gen Hosp, Dept Neurol, Boston, MA 02114 USA; [Antoury, Layal; Hu, Ningyan; Balaj, Leonora; Das, Sudeshna; Georghiou, Sofia; Darras, Basil; Clark, Tim; Breakefield, Xandra O.; Wheeler, Thurman M.] Harvard Med Sch, Boston, MA 02115 USA; [Georghiou, Sofia; Darras, Basil] Boston Childrens Hosp, Dept Neurol, Boston, MA USA; [Breakefield, Xandra O.] Massachusetts Gen Hosp, Dept Radiol, Boston, MA USA</t>
  </si>
  <si>
    <t>Harvard University; Massachusetts General Hospital; Harvard University; Harvard Medical School; Harvard University; Boston Children's Hospital; Harvard University; Massachusetts General Hospital</t>
  </si>
  <si>
    <t>Wheeler, TM (corresponding author), Massachusetts Gen Hosp, Dept Neurol, Boston, MA 02114 USA.;Wheeler, TM (corresponding author), Harvard Med Sch, Boston, MA 02115 USA.</t>
  </si>
  <si>
    <t>twheeler1@mgh.harvard.edu</t>
  </si>
  <si>
    <t>Balaj, Leonora/0000-0003-0931-9715; Das, Sudeshna/0000-0002-9486-6811; Clark, Timothy/0000-0003-4060-7360</t>
  </si>
  <si>
    <t>10.1038/s41467-018-06206-0</t>
  </si>
  <si>
    <t>WOS:000445560800014</t>
  </si>
  <si>
    <t>Fiskaa, T; Knutsen, E; Nikolaisen, MA; Jorgensen, TE; Johansen, SD; Perander, M; Seternes, OM</t>
  </si>
  <si>
    <t>Fiskaa, Tonje; Knutsen, Erik; Nikolaisen, Marlen Aas; Jorgensen, Tor Erik; Johansen, Steinar Daae; Perander, Maria; Seternes, Ole Morten</t>
  </si>
  <si>
    <t>Distinct Small RNA Signatures in Extracellular Vesicles Derived from Breast Cancer Cell Lines</t>
  </si>
  <si>
    <t>INTERCELLULAR TRANSFER; TRANSFERRIN RECEPTOR; MICRORNA SIGNATURES; GENE-EXPRESSION; EXOSOMES; MICROVESICLES; PROMOTE; PLASMA; STAGE; ANGIOGENESIS</t>
  </si>
  <si>
    <t>Breast cancer is a heterogeneous disease, and different subtypes of breast cancer show distinct cellular morphology, gene expression, metabolism, motility, proliferation, and metastatic potential. Understanding the molecular features responsible for this heterogeneity is important for correct diagnosis and better treatment strategies. Extracellular vesicles (EVs) and their associated molecules have gained much attention as players in intercellular communication, ability to precondition specific organs for metastatic invasion, and for their potential role as circulating cancer biomarkers. EVs are released from the cells and contain proteins, DNA, and long and small RNA species. Here we show by high-throughput small RNA-sequencing that EVs from nine different breast cancer cell lines share common characteristics in terms of small RNA content that are distinct from their originating cells. Most strikingly, a highly abundant small RNA molecule derived from the nuclear 28S rRNA is vastly enriched in EVs. The miRNA profiles in EVs correlate with the cellular miRNA expression pattern, but with a few exceptions that includes miR-21. This cancer-associated miRNA is retained in breast cancer cell lines. Finally, we report that EVs from breast cancer cell lines cluster together based on their small RNA signature when compared to EVs derived from other cancer cell lines. Altogether, our data demonstrate that breast cancer cell lines manifest a specific small RNA signature in their released EVs. This opens up for further evaluation of EVs as breast cancer biomarkers.</t>
  </si>
  <si>
    <t>[Fiskaa, Tonje; Knutsen, Erik; Johansen, Steinar Daae; Perander, Maria] UiT Arctic Univ Norway, Fac Hlth Sci, Dept Med Biol, MH Bldg Breivika, N-9037 Tromso, Norway; [Fiskaa, Tonje; Nikolaisen, Marlen Aas; Seternes, Ole Morten] UiT Arctic Univ Norway, Fac Hlth Sci, Dept Pharm, MH Bldg Breivika, N-9037 Tromso, Norway; [Jorgensen, Tor Erik; Johansen, Steinar Daae] Nord Univ, Fac Biosci &amp; Aquaculture, Marine Genom Grp, Bodo, Norway</t>
  </si>
  <si>
    <t>UiT The Arctic University of Tromso; UiT The Arctic University of Tromso; Nord University</t>
  </si>
  <si>
    <t>Fiskaa, T (corresponding author), UiT Arctic Univ Norway, Fac Hlth Sci, Dept Med Biol, MH Bldg Breivika, N-9037 Tromso, Norway.;Fiskaa, T (corresponding author), UiT Arctic Univ Norway, Fac Hlth Sci, Dept Pharm, MH Bldg Breivika, N-9037 Tromso, Norway.</t>
  </si>
  <si>
    <t>Tonje.Fiskaa@uit.no</t>
  </si>
  <si>
    <t>Knutsen, Erik/ABH-6287-2020; Seternes, Ole Morten/M-9520-2019</t>
  </si>
  <si>
    <t>Knutsen, Erik/0000-0002-4903-0150; Seternes, Ole Morten/0000-0001-8537-3612; Jorgensen, Tor Erik/0000-0002-6401-0713; Perander, Maria/0000-0002-1177-2407</t>
  </si>
  <si>
    <t>AUG 31</t>
  </si>
  <si>
    <t>e0161824</t>
  </si>
  <si>
    <t>10.1371/journal.pone.0161824</t>
  </si>
  <si>
    <t>WOS:000382877400043</t>
  </si>
  <si>
    <t>Vardaki, I; Corn, P; Gentile, E; Song, JH; Madan, N; Hoang, A; Parikh, N; Guerra, L; Lee, YC; Lin, SC; Yu, GY; Santos, E; Melancon, MP; Troncoso, P; Navone, N; Gallick, GE; Efstathiou, E; Subudhi, SK; Lin, SH; Logothetis, CJ; Panaretakis, T</t>
  </si>
  <si>
    <t>Vardaki, Ioulia; Corn, Paul; Gentile, Emanuela; Song, Jian H.; Madan, Namrata; Anh Hoang; Parikh, Nila; Guerra, Leah; Lee, Yu-Chen; Lin, Song-Chang; Yu, Guoyu; Santos, Elmer; Melancon, Marites P.; Troncoso, Patricia; Navone, Nora; Gallick, Gary E.; Efstathiou, Eleni; Subudhi, Sumit K.; Lin, Sue-Hwa; Logothetis, Christopher J.; Panaretakis, Theocharis</t>
  </si>
  <si>
    <t>Radium-223 Treatment Increases Immune Checkpoint Expression in Extracellular Vesicles from the Metastatic Prostate Cancer Bone Microenvironment</t>
  </si>
  <si>
    <t>CLINICAL CANCER RESEARCH</t>
  </si>
  <si>
    <t>CELLS; GROWTH; ATM</t>
  </si>
  <si>
    <t>Purpose: Radium-223 prolongs survival in a fraction of men with bone metastatic prostate cancer (PCa). However, there are no markers for monitoring response and resistance to Radium-223 treatment. Exosomes are mediators of intercellular communication and may reflect response of the bone microenvironment to Radium-223 treatment. We performed molecular profiling of exosomes and compared the molecular profile in patients with favorable and unfavorable overall survival. Experimental Design: We performed exosomal transcriptome analysis in plasma derived from our preclinical models (MDA-PCa 118b tumors, TRAMP-C2/BMP4 PCa) and from the plasma of 25 patients (paired baseline and end of treatment) treated with Radium-223. All samples were run in duplicate, and array data analyzed with fold changes +2 to -2 and P &lt; 0.05. Results: We utilized the preclinical models to establish that genes derived from the tumor and the tumor-associated bone microenvironment (bTME) are differentially enriched in plasma exosomes upon Radium-223 treatment. The mouse transcriptome analysis revealed changes in bone-related and DNA damage repair-related pathways. Similar findings were observed in plasma-derived exosomes from patients treated with Radium-223 detected changes. In addition, exosomal transcripts detected immune-suppressors (e.g., PD-L1) that were associated with shorter survival to Radium-223. Treatment of the Myc-CaP mouse model with a combination of Radium-223 and immune checkpoint therapy (ICT) resulted in greater efficacy than monotherapy. Conclusions: These clinical and coclinical analyses showed that RNA profiling of plasma exosomes may be used for monitoring the bTME in response to treatment and that ICT may be used to increase the efficacy of Radium-223.</t>
  </si>
  <si>
    <t>[Vardaki, Ioulia; Corn, Paul; Gentile, Emanuela; Song, Jian H.; Madan, Namrata; Anh Hoang; Parikh, Nila; Guerra, Leah; Navone, Nora; Gallick, Gary E.; Efstathiou, Eleni; Subudhi, Sumit K.; Lin, Sue-Hwa; Logothetis, Christopher J.; Panaretakis, Theocharis] MD Anderson Canc Ctr, Dept GU Med Oncol, Houston, TX USA; [Vardaki, Ioulia; Panaretakis, Theocharis] Karolinska Inst, Inst Environm Med, Stockholm, Sweden; [Lee, Yu-Chen; Lin, Song-Chang; Yu, Guoyu; Lin, Sue-Hwa] MD Anderson Canc Ctr, Dept Translat Mol Pathol, Houston, TX USA; [Santos, Elmer; Melancon, Marites P.] MD Anderson Canc Ctr, Dept Nucl Med, Houston, TX USA; [Troncoso, Patricia] MD Anderson Canc Ctr, Dept Intervent Radiol, Houston, TX USA</t>
  </si>
  <si>
    <t>University of Texas System; UTMD Anderson Cancer Center; Karolinska Institutet; University of Texas System; UTMD Anderson Cancer Center; University of Texas System; UTMD Anderson Cancer Center; University of Texas System; UTMD Anderson Cancer Center</t>
  </si>
  <si>
    <t>Panaretakis, T (corresponding author), Univ Texas MD Anderson Canc Ctr, GU Med Oncol, Houston, TX 77030 USA.</t>
  </si>
  <si>
    <t>tpanaretakisa@mdanderson.org</t>
  </si>
  <si>
    <t>1078-0432</t>
  </si>
  <si>
    <t>1557-3265</t>
  </si>
  <si>
    <t>10.1158/1078-0432.CCR-20-4790</t>
  </si>
  <si>
    <t>WOS:000657419800030</t>
  </si>
  <si>
    <t>Wang, H; Chen, H; Huang, ZP; Li, TD; Deng, AM; Kong, JL</t>
  </si>
  <si>
    <t>Wang, Hui; Chen, Hui; Huang, Zhipeng; Li, Tengda; Deng, Anmei; Kong, Jilie</t>
  </si>
  <si>
    <t>DNase I enzyme-aided fluorescence signal amplification based on graphene oxide-DNA aptamer interactions for colorectal cancer exosome detection</t>
  </si>
  <si>
    <t>Colorectal cancer (CRC); Exosomes; Graphene oxide; DNA aptamer; Signal amplification</t>
  </si>
  <si>
    <t>PANCREATIC-CANCER; OVARIAN-CANCER; CELL; BIOMARKERS; APTASENSOR; EXPRESSION; DIAGNOSIS; SELECTION; PROTEIN; SENSOR</t>
  </si>
  <si>
    <t>Exosomes have proved to be an effective cancer biomarker with significant potential, and several cell-specific molecules have been found in colorectal cancer (CRC) exosomes. Nevertheless, it is challenging to use exosomes in clinical lab diagnostics due to their nanoscale and the lack of a convenient and effective detection platform. Here, we developed a DNase I enzyme-aided fluorescence amplification method for CRC exosome detection, based on graphene oxide (GO)-DNA aptamer (CD63 and EpCAM aptamers) interactions. The fluorescence of fluorophore-labeled aptamers quenched by GO, recovered after incubation with samples containing CRC exosomes. The DNase I enzyme digested the single-stranded DNA aptamers on the exosome surface and the exosomes were able to interact with more fluorescent aptamer probes, resulting in an increase of signal amplification. The limit of detection for CRC exosomes is 2.1 x 10(4) particles/mu l. Consequently, a rapid and effective method with high sensitivity was established. The method was verified in 19 clinical blood serum samples to distinguish healthy and CRC patients, showing significant diagnostic power. Moreover, it can be expanded to other kinds of cancer exosomes, in addition to CRC.</t>
  </si>
  <si>
    <t>[Wang, Hui; Li, Tengda; Deng, Anmei] Second Mil Med Univ, Changhai Hosp, Ctr Clin Expt, Shanghai 200433, Peoples R China; [Chen, Hui; Huang, Zhipeng; Kong, Jilie] Fudan Univ, Dept Chem, Shanghai 200433, Peoples R China; [Chen, Hui; Huang, Zhipeng; Kong, Jilie] Fudan Univ, Inst Biomed Sci, Shanghai 200433, Peoples R China</t>
  </si>
  <si>
    <t>Naval Medical University; Fudan University; Fudan University</t>
  </si>
  <si>
    <t>Deng, AM (corresponding author), Second Mil Med Univ, Changhai Hosp, Ctr Clin Expt, Shanghai 200433, Peoples R China.;Chen, H; Kong, JL (corresponding author), Fudan Univ, Dept Chem, Shanghai 200433, Peoples R China.;Chen, H; Kong, JL (corresponding author), Fudan Univ, Inst Biomed Sci, Shanghai 200433, Peoples R China.</t>
  </si>
  <si>
    <t>chenhui@fudan.edu.cn; amdeng70@163.com; jlkong@fudan.edu.cn</t>
  </si>
  <si>
    <t>JUL 1</t>
  </si>
  <si>
    <t>10.1016/j.talanta.2018.02.083</t>
  </si>
  <si>
    <t>WOS:000432234900029</t>
  </si>
  <si>
    <t>Mitchell, MD; Crookenden, MA; Vaswani, K; Roche, JR; Peiris, HN</t>
  </si>
  <si>
    <t>Mitchell, Murray D.; Crookenden, Mallory A.; Vaswani, Kanchan; Roche, John R.; Peiris, Hassendrini N.</t>
  </si>
  <si>
    <t>The frontiers of biomedical science and its application to animal science in addressing the major challenges facing Australasian dairy farming</t>
  </si>
  <si>
    <t>ANIMAL PRODUCTION SCIENCE</t>
  </si>
  <si>
    <t>8th Australasian Dairy Science Symposium (ADSS) - Dairy Science for Profitable and Sustainable Farming</t>
  </si>
  <si>
    <t>NOV, 2018</t>
  </si>
  <si>
    <t>Palmerston North, NEW ZEALAND</t>
  </si>
  <si>
    <t>dairy cow; exosomes; fertility</t>
  </si>
  <si>
    <t>CELL-DERIVED EXOSOMES; DRUG-DELIVERY VEHICLES; BOVINE-MILK EXOSOMES; CIRCULATING EXOSOMES; EXTRACELLULAR VESICLES; HOLSTEIN CATTLE; TRANSITION COW; MICRORNA; PLASMA; EXPRESSION</t>
  </si>
  <si>
    <t>Extraordinary advances are occurring in biomedical science that may revolutionise how we approach health and disease. Many have applications in the dairy industry. We have described one particular area of extracellular vesicles that have already proven to be of interest in diagnostics and prognostics for fertility and assessment of 'transition' cows (i.e. evaluation of the problems related to the risk of clinical diseases in dairy cows, such as mastitis and milk fever, during transition period). The addition of measurements of circulating RNA and DNA may prove of value in identifying dairy cows with higher risks of clinical diseases and potentially poor fertility. We describe the exciting opportunity provided by the possibility of generating exosomes to order as therapeutic agents to potentially enhance fertility. The even more radical concept of using exosomes to deliver a CRISPR-linked gene editing function is presented. Undoubtedly, the use of biomedical advances to assist the dairy industry is an obvious and practical approach that has significant merit.</t>
  </si>
  <si>
    <t>[Mitchell, Murray D.; Vaswani, Kanchan; Peiris, Hassendrini N.] Queensland Univ Technol, Fac Hlth, Inst Hlth &amp; Biomed Innovat, Ctr Childrens Hlth Res, 62 Graham St, South Brisbane, Qld 4101, Australia; [Crookenden, Mallory A.; Roche, John R.] DairyNZ Ltd, Private Bag 3221, Hamilton 3240, New Zealand; [Roche, John R.] Univ Auckland, Sch Biol Sci, Private Bag 92019, Auckland 1142, New Zealand; [Roche, John R.] Minist Primary Ind, Pastoral House, Wellington 6140, New Zealand</t>
  </si>
  <si>
    <t>Queensland University of Technology (QUT); DairyNZ; University of Auckland</t>
  </si>
  <si>
    <t>Mitchell, MD (corresponding author), Queensland Univ Technol, Fac Hlth, Inst Hlth &amp; Biomed Innovat, Ctr Childrens Hlth Res, 62 Graham St, South Brisbane, Qld 4101, Australia.</t>
  </si>
  <si>
    <t>murray.mitchell@qut.edu.au</t>
  </si>
  <si>
    <t>Crookenden, Mallory/AAY-8207-2021; Roche, John/ABG-1722-2020; Mitchell, Murray/A-8639-2010; Peiris, Hassendrini/B-9928-2016</t>
  </si>
  <si>
    <t>Roche, John/0000-0002-4165-9253; Mitchell, Murray/0000-0002-6167-7176; Peiris, Hassendrini/0000-0002-4685-2722</t>
  </si>
  <si>
    <t>1836-0939</t>
  </si>
  <si>
    <t>1836-5787</t>
  </si>
  <si>
    <t>10.1071/AN18579</t>
  </si>
  <si>
    <t>Agriculture, Dairy &amp; Animal Science</t>
  </si>
  <si>
    <t>Agriculture</t>
  </si>
  <si>
    <t>WOS:000505620500002</t>
  </si>
  <si>
    <t>Szczesny, B; Marcatti, M; Ahmad, A; Montalbano, M; Brunyanszki, A; Bibli, SI; Papapetropoulos, A; Szabo, C</t>
  </si>
  <si>
    <t>Szczesny, Bartosz; Marcatti, Michela; Ahmad, Akbar; Montalbano, Mauro; Brunyanszki, Attila; Bibli, Sofia-Iris; Papapetropoulos, Andreas; Szabo, Csaba</t>
  </si>
  <si>
    <t>Mitochondrial DNA damage and subsequent activation of Z-DNA binding protein 1 links oxidative stress to inflammation in epithelial cells</t>
  </si>
  <si>
    <t>INNATE IMMUNE-RESPONSES; DAI DLM-1/ZBP1; ROLES; MTDNA; REPAIR</t>
  </si>
  <si>
    <t>This report identifies mitochondrial DNA (mtDNA) as a target and active mediator that links low-level oxidative stress to inflammatory response in pulmonary epithelial cells. Extrusion of mtDNA into the bronchoalveolar lavage fluid occurs as an early event in mice subjected to cigarette smoke injury, concomitantly with the depletion of mtDNA in the lung tissue. In cultured lung epithelial cells, prolonged, low-level oxidative stress damages the mtDNA, without any detectable damage to the nuclear DNA. In turn, cellular depletion of the mtDNA occurs, together with a transient remodeling of cellular bioenergetics and morphology - all without any detectable impairment in overall cell viability. Damaged mtDNA first enters the cytoplasm, where it binds to Z-DNA binding protein 1 (ZBP1) and triggers inflammation via the TANK-binding kinase 1 /interferon regulatory factor 3 signaling pathway. Fragments of the mtDNA are subsequently released into the extracellular space via exosomes. MtDNA-containing exosomes are capable of inducing an inflammatory response in naive (non-oxidatively stressed) epithelial cells. In vivo, administration of isolated mtDNA into the in lungs of naive mice induces the production of pro-inflammatory mediators, without histopathologic evidence of tissue injury. We propose that mtDNA-specific damage, and subsequent activation of the ZBP1 pathway, is a mechanism that links prolonged, low-level oxidative stress to autocrine and paracrine inflammation during the early stages of inflammatory lung disease.</t>
  </si>
  <si>
    <t>[Szczesny, Bartosz; Marcatti, Michela; Ahmad, Akbar; Brunyanszki, Attila; Szabo, Csaba] Univ Texas Med Branch, Dept Anesthesiol, Galveston, TX 77555 USA; [Montalbano, Mauro] Univ Texas Med Branch, Ctr Biomed Engn, Galveston, TX 77555 USA; [Bibli, Sofia-Iris; Papapetropoulos, Andreas] Univ Athens, Fac Pharm, Athens, Greece; [Papapetropoulos, Andreas] Biomed Res Fdn Acad Athens, Ctr Clin Expt Surg &amp; Translat Res, Athens, Greece</t>
  </si>
  <si>
    <t>University of Texas System; University of Texas Medical Branch Galveston; University of Texas System; University of Texas Medical Branch Galveston; National &amp; Kapodistrian University of Athens; Academy of Athens</t>
  </si>
  <si>
    <t>Szczesny, B; Szabo, C (corresponding author), Univ Texas Med Branch, Dept Anesthesiol, Galveston, TX 77555 USA.</t>
  </si>
  <si>
    <t>baszczes@utmb.edu; szabocsaba@aol.com</t>
  </si>
  <si>
    <t>Montalbano, Mauro/AAA-6833-2021; Szabo, Csaba/ABG-2644-2021; Andreas, Papapetropoulos/AAJ-3089-2020; Bibli, Sofia Iris/AAK-4439-2021</t>
  </si>
  <si>
    <t>Montalbano, Mauro/0000-0002-0456-452X; Ahmad, Akbar/0000-0003-1841-9670</t>
  </si>
  <si>
    <t>JAN 17</t>
  </si>
  <si>
    <t>10.1038/s41598-018-19216-1</t>
  </si>
  <si>
    <t>WOS:000422716900048</t>
  </si>
  <si>
    <t>Zhao, F; Zheng, T; Gong, WB; Wu, J; Xie, HH; Li, WJ; Zhang, R; Liu, PZ; Liu, JH; Wu, XW; Zhao, Y; Ren, JA</t>
  </si>
  <si>
    <t>Zhao, Fan; Zheng, Tao; Gong, Wenbin; Wu, Jie; Xie, Haohao; Li, Weijie; Zhang, Rui; Liu, Peizhao; Liu, Juanhan; Wu, Xiuwen; Zhao, Yun; Ren, Jianan</t>
  </si>
  <si>
    <t>Extracellular vesicles package dsDNA to aggravate Crohn's disease by activating the STING pathway</t>
  </si>
  <si>
    <t>CELL DEATH &amp; DISEASE</t>
  </si>
  <si>
    <t>DNA; INFLAMMATION; RESPONSES; SENSOR; CELLS</t>
  </si>
  <si>
    <t>Crohn's disease (CD) is an intestinal immune-dysfunctional disease. Extracellular vesicles (EVs) are membrane-enclosed particles full of functional molecules, e.g., nuclear acids. Recently, EVs have been shown to participate in the development of CD by realizing intercellular communication among intestinal cells. However, the role of EVs carrying double-strand DNA (dsDNA) shed from sites of intestinal inflammation in CD has not been investigated. Here we isolated EVs from the plasma or colon lavage of murine colitis and CD patients. The level of exosomal dsDNA, including mtDNA and nDNA, significantly increased in murine colitis and active human CD, and was positively correlated with the disease activity. Moreover, the activation of the STING pathway was verified in CD. EVs from the plasma of active human CD triggered STING activation in macrophages in vitro. EVs from LPS-damaged colon epithelial cells were also shown to raise inflammation in macrophages via activating the STING pathway, but the effect disappeared after the removal of exosomal dsDNA. These findings were further confirmed in STING-deficient mice and macrophages. STING deficiency significantly ameliorated colitis. Besides, potential therapeutic effects of GW4869, an inhibitor of EVs release were assessed. The application of GW4869 successfully ameliorated murine colitis by inhibiting STING activation. In conclusion, exosomal dsDNA was found to promote intestinal inflammation via activating the STING pathway in macrophages and act as a potential mechanistic biomarker and therapeutic target of CD.</t>
  </si>
  <si>
    <t>[Zhao, Fan; Gong, Wenbin; Zhang, Rui; Liu, Peizhao; Liu, Juanhan; Wu, Xiuwen; Ren, Jianan] Nanjing Univ, Res Inst Gen Surg, Jinling Hosp, Med Sch, Nanjing, Peoples R China; [Zheng, Tao; Wu, Jie; Xie, Haohao; Li, Weijie; Zhao, Yun] Nanjing Univ, Dept Gen Surg, BenQ Med Ctr, Affiliated BenQ Hosp, Nanjing, Peoples R China</t>
  </si>
  <si>
    <t>Nanjing University; Nanjing University</t>
  </si>
  <si>
    <t>Wu, XW; Ren, JA (corresponding author), Nanjing Univ, Res Inst Gen Surg, Jinling Hosp, Med Sch, Nanjing, Peoples R China.;Zhao, Y (corresponding author), Nanjing Univ, Dept Gen Surg, BenQ Med Ctr, Affiliated BenQ Hosp, Nanjing, Peoples R China.</t>
  </si>
  <si>
    <t>lygwxw@163.com; zhaoyun056@gmail.com; jiananr@gmail.com</t>
  </si>
  <si>
    <t>吴, 婕/ABD-3684-2022; 吴, 秀文/AEO-0814-2022</t>
  </si>
  <si>
    <t>吴, 婕/0000-0002-7494-2979; Wu, Xiuwen/0000-0002-3813-3867</t>
  </si>
  <si>
    <t>2041-4889</t>
  </si>
  <si>
    <t>10.1038/s41419-021-04101-z</t>
  </si>
  <si>
    <t>WOS:000690954100004</t>
  </si>
  <si>
    <t>Slowey, PD</t>
  </si>
  <si>
    <t>Seymour, GJ; Cullinan, MP; Heng, NCK</t>
  </si>
  <si>
    <t>Slowey, Paul D.</t>
  </si>
  <si>
    <t>Salivary Diagnostics Using Purified Nucleic Acids</t>
  </si>
  <si>
    <t>ORAL BIOLOGY: MOLECULAR TECHNIQUES AND APPLICATIONS, 2ND EDITION</t>
  </si>
  <si>
    <t>Saliva; RNA; DNA; Nucleic acids; Stabilization; Exosomes</t>
  </si>
  <si>
    <t>SOLUBLE C-ERBB-2; PLASMA DNA; CANCER; EXOSOMES; WOMEN; RECEPTOR; PROTEIN; SERUM</t>
  </si>
  <si>
    <t>Saliva is an easily accessible fluid that has led to increasing interest in the development of salivary diagnostics. This chapter describes some of the newer tools and procedures for collection, stabilization, and storage of oral fluid matrices that aid in the successful use of saliva as a test specimen. This chapter focuses particularly on nucleic acid components for downstream molecular diagnostic (MDx) testing, since this is probably the area where saliva is likely to have the greatest impact in improving healthcare for the general population.</t>
  </si>
  <si>
    <t>[Slowey, Paul D.] Oasis Diagnost Corp, Vancouver, WA 98686 USA</t>
  </si>
  <si>
    <t>Slowey, PD (corresponding author), Oasis Diagnost Corp, Vancouver, WA 98686 USA.</t>
  </si>
  <si>
    <t>Slowey, Paul/0000-0002-9151-1011</t>
  </si>
  <si>
    <t>978-1-4939-6685-1; 978-1-4939-6683-7</t>
  </si>
  <si>
    <t>10.1007/978-1-4939-6685-1_1</t>
  </si>
  <si>
    <t>10.1007/978-1-4939-6685-1</t>
  </si>
  <si>
    <t>Biochemistry &amp; Molecular Biology; Dentistry, Oral Surgery &amp; Medicine</t>
  </si>
  <si>
    <t>WOS:000450331200002</t>
  </si>
  <si>
    <t>Smalheiser, NR; Gomes, OLA</t>
  </si>
  <si>
    <t>Smalheiser, Neil R.; Gomes, Octavio L. A.</t>
  </si>
  <si>
    <t>Mammalian Argonaute-DNA binding?</t>
  </si>
  <si>
    <t>BIOLOGY DIRECT</t>
  </si>
  <si>
    <t>Consensus; Hypothesis assessment; Scientific discovery; DNA interference; Cytoplasmic DNA; RNA interference</t>
  </si>
  <si>
    <t>VESICLE-MEDIATED TRANSFER; CYTOPLASMIC DNA; MESSENGER-RNA; HORIZONTAL TRANSFER; MEMBRANE-VESICLES; CRYSTAL-STRUCTURE; GENOMIC DNA; SYSTEM; CELLS; TRANSCRIPTION</t>
  </si>
  <si>
    <t>When a field shares the consensus that a particular phenomenon does NOT occur, this may reflect extensive experimental investigations with negative outcomes, or may represent the common sense position based on current knowledge and established ways of thinking. The current consensus of the RNA field is that eukaryotic Argonaute (Ago) proteins employ RNA guides and target other RNAs. The alternative - that eukaryotic Ago has biologically important interactions with DNA in vivo - has not been seriously considered, in part because the only role contemplated for DNA was as a guide strand, and in part because it did not seem plausible that any natural source of suitable DNAs exists in eukaryotic cells. However, eukaryotic Argonaute domains bind DNA in the test tube, and several articles report that small inhibitory double-stranded DNAs do have the ability to silence target RNAs in a sequence-dependent (though poorly characterized) manner. A search of the literature identified potential DNA binding partners for Ago, including (among others) single-stranded DNAs residing in extracellular vesicles, and cytoplasmic satellite-repeat DNA fragments that are associated with the plasma membrane and transcribed by Pol II. It is interesting to note that both cytoplasmic and extracellular vesicle DNA are expressed at greatly elevated levels in cancer cells relative to normal cells. In such a pathological scenario, if not under normal conditions, there may be appreciable binding of Ago to DNA despite its lower affinity compared to RNA. If so, DNA might displace Ago from binding to its normal partners (miRNAs, siRNAs and other short ncRNAs), disrupting tightly controlled post-transcriptional gene silencing processes that are vital to correct functioning of a normal cell. The possible contribution to cancer pathogenesis is a strong motivator for further investigation of Ago-DNA binding. More generally, this case underscores the need for better informatics tools to allow investigators to analyze the state of a given scientific question at a high-level and to identify possible new research directions. Reviewers: This article was reviewed by Eugene Koonin, Kira S. Makarova, Alexander Maxwell Burroughs (nominated by L Aravind), and Isidore Rigoutsos. Open peer review: Reviewed by Eugene Koonin, Kira S. Makarova, Alexander Maxwell Burroughs (nominated by L Aravind), and Isidore Rigoutsos. For the full reviews, please go to the Reviewers' comments section.</t>
  </si>
  <si>
    <t>[Smalheiser, Neil R.] Univ Illinois, Dept Psychiat, Chicago, IL 60612 USA; Univ Illinois, Inst Psychiat, Chicago, IL 60612 USA</t>
  </si>
  <si>
    <t>University of Illinois System; University of Illinois Chicago; University of Illinois Chicago Hospital; University of Illinois System; University of Illinois Chicago; University of Illinois Chicago Hospital</t>
  </si>
  <si>
    <t>Smalheiser, NR (corresponding author), Univ Illinois, Dept Psychiat, 1601 W Taylor St MC912, Chicago, IL 60612 USA.</t>
  </si>
  <si>
    <t>neils@uic.edu</t>
  </si>
  <si>
    <t>1745-6150</t>
  </si>
  <si>
    <t>DEC 4</t>
  </si>
  <si>
    <t>10.1186/s13062-014-0027-4</t>
  </si>
  <si>
    <t>Biology</t>
  </si>
  <si>
    <t>Life Sciences &amp; Biomedicine - Other Topics</t>
  </si>
  <si>
    <t>WOS:000346385400001</t>
  </si>
  <si>
    <t>Alyamkina, EA; Nikolin, VP; Popova, NA; Minkevich, AM; Kozel, AV; Dolgova, EV; Efremov, YR; Bayborodin, SI; Andrushkevich, OM; Taranov, OS; Omigov, VV; Rogachev, VA; Proskurina, AS; Vereschagin, EI; Kiseleva, EV; Zhukova, MV; Ostanin, AA; Chernykh, ER; Bogachev, SS; Shurdov, MA</t>
  </si>
  <si>
    <t>Alyamkina, Ekaterina A.; Nikolin, Valeriy P.; Popova, Nelly A.; Minkevich, Alexandra M.; Kozel, Artem V.; Dolgova, Evgenia V.; Efremov, Yaroslav R.; Bayborodin, Sergey I.; Andrushkevich, Oleg M.; Taranov, Oleg S.; Omigov, Vladimir V.; Rogachev, Vladimir A.; Proskurina, Anastasia S.; Vereschagin, Evgeniy I.; Kiseleva, Elena V.; Zhukova, Maria V.; Ostanin, Alexandr A.; Chernykh, Elena R.; Bogachev, Sergey S.; Shurdov, Mikhail A.</t>
  </si>
  <si>
    <t>Combination of cyclophosphamide and double-stranded DNA demonstrates synergistic toxicity against established xenografts</t>
  </si>
  <si>
    <t>Ascites Krebs-2; Cyclophosphamide; Double-stranded DNA; Apoptosis; Necrosis; Sepsis; MCF-7</t>
  </si>
  <si>
    <t>FREE PLASMA DNA; DENDRITIC CELLS; NUCLEIC-ACIDS; TUMOR; SEPSIS; MICROVESICLES; RECOGNITION; MORTALITY; PATHOGENESIS; ASSOCIATION</t>
  </si>
  <si>
    <t>Background: Extracellular double-stranded DNA participates in various processes in an organism. Here we report the suppressive effects of fragmented human double-stranded DNA along or in combination with cyclophosphamide on solid and ascites grafts of mouse Krebs-2 tumor cells and DNA preparation on human breast adenocarcinoma cell line MCF-7. Methods: Apoptosis and necrosis were assayed by electrophoretic analysis (DNA nucleosomal fragmentation) and by measurements of LDH levels in ascitic fluid, respectively. DNA internalization into MCF-7 was analyzed by flow cytometry and fluorescence microscopy. Results: Direct cytotoxic activity of double-stranded DNA (along or in combination with cyclophosphamide) on a solid transplant was demonstrated. This resulted in delayed solid tumor proliferation and partial tumor lysis due to necrosis of the tumor and adjacent tissues. In the case of ascites form of tumor, extensive apoptosis and secondary necrosis were observed. Similarly, MCF-7 cells showed induction of massive apoptosis (up to 45%) as a result of treatments with double-stranded DNA preparation. Conclusions: Double-stranded DNA (along or in combination with cyclophosphamide) induces massive apoptosis of Krebs-2 ascite cells and MCF-7 cell line (DNA only). In treated mice it reduces the integrity of gut wall cells and contributes to the development of systemic inflammatory reaction.</t>
  </si>
  <si>
    <t>[Alyamkina, Ekaterina A.; Nikolin, Valeriy P.; Popova, Nelly A.; Minkevich, Alexandra M.; Dolgova, Evgenia V.; Efremov, Yaroslav R.; Bayborodin, Sergey I.; Andrushkevich, Oleg M.; Omigov, Vladimir V.; Rogachev, Vladimir A.; Kiseleva, Elena V.; Zhukova, Maria V.; Bogachev, Sergey S.] Russian Acad Sci, Inst Cytol &amp; Genet, Siberian Branch, Novosibirsk 630090, Russia; [Popova, Nelly A.; Kozel, Artem V.; Efremov, Yaroslav R.; Bayborodin, Sergey I.; Andrushkevich, Oleg M.] Novosibirsk State Univ, Novosibirsk 630090, Russia; [Taranov, Oleg S.; Omigov, Vladimir V.] State Res Ctr Virol &amp; Biotechnol VECTOR, Koltsov 630559, Novosibirsk Reg, Russia; [Vereschagin, Evgeniy I.] Novosibirsk State Med Acad, Novosibirsk 630091, Russia; [Ostanin, Alexandr A.; Chernykh, Elena R.] Russian Acad Sci, Inst Clin Immunol, Siberian Branch, Novosibirsk 630090, Russia; [Shurdov, Mikhail A.] LLC Panagen, Gorno Altaisk, Russia</t>
  </si>
  <si>
    <t>Russian Academy of Sciences; Institute of Cytology &amp; Genetics ICG SB RAS; Novosibirsk State University; State Research Center of Virology &amp; Biotechnology VECTOR; Russian Academy of Medical Sciences; Russian Academy of Sciences</t>
  </si>
  <si>
    <t>Bogachev, SS (corresponding author), Russian Acad Sci, Inst Cytol &amp; Genet, Siberian Branch, 10 Lavrentieva Ave, Novosibirsk 630090, Russia.</t>
  </si>
  <si>
    <t>Zhukova, Mariya/D-1038-2018; Taranov, Oleg/AAG-9798-2021; Chernykh, Elena/AAB-1301-2022; Dolgova, Evgeniya V/T-6788-2017; Potter, Ekaterina/AAP-4868-2020; Taranov, Oleg S/A-5657-2014; Omigov, Vladimir V/ABC-8325-2021; Proskurina, Anastasia/H-3639-2015; Bogachev, Sergey/T-3313-2017</t>
  </si>
  <si>
    <t>Zhukova, Mariya/0000-0002-4996-4500; Chernykh, Elena/0000-0003-2346-6279; Dolgova, Evgeniya V/0000-0002-5543-248X; Potter, Ekaterina/0000-0003-1558-8655; Taranov, Oleg S/0000-0002-6746-8092; Efremov, Yaroslav R./0000-0002-0649-7543; Proskurina, Anastasia/0000-0002-7650-4331; Kiseleva, Elena/0000-0001-6949-182X; Bogachev, Sergey/0000-0002-2019-9382</t>
  </si>
  <si>
    <t>MAR 19</t>
  </si>
  <si>
    <t>10.1186/s12935-015-0180-6</t>
  </si>
  <si>
    <t>WOS:000351267600001</t>
  </si>
  <si>
    <t>Gourzones, C; Ferrand, FR; Amiel, C; Verillaud, B; Barat, A; Guerin, M; Gattolliat, CH; Gelin, A; Klibi, J; Ben Chaaben, A; Schneider, V; Guemira, F; Guigay, J; Lang, P; Jimenez-Pailhes, AS; Busson, P</t>
  </si>
  <si>
    <t>Gourzones, Claire; Ferrand, Francois-Regis; Amiel, Corinne; Verillaud, Benjamin; Barat, Ana; Guerin, Maryse; Gattolliat, Charles-Henry; Gelin, Aurore; Klibi, Jihene; Ben Chaaben, Arij; Schneider, Veronique; Guemira, Fethi; Guigay, Joel; Lang, Philippe; Jimenez-Pailhes, Anne-Sophie; Busson, Pierre</t>
  </si>
  <si>
    <t>Consistent high concentration of the viral microRNA BART17 in plasma samples from nasopharyngeal carcinoma patients - evidence of non-exosomal transport</t>
  </si>
  <si>
    <t>Biomarker; DNA load; Epstein-Barr virus; Exosomes; Head and Neck carcinomas; Lipoproteins; miR-BART; microRNA; Nasopharyngeal carcinoma; Plasma</t>
  </si>
  <si>
    <t>EPSTEIN-BARR-VIRUS; REVEALS POTENTIAL BIOMARKERS; CIRCULATING MICRORNAS; ENCODED MICRORNAS; BLOOD; IDENTIFICATION</t>
  </si>
  <si>
    <t>Background: Because latent Epstein Barr (EBV)-infection is a specific characteristic of malignant nasopharyngeal carcinoma (NPC), various molecules of viral origin are obvious candidate biomarkers in this disease. In a previous study, we could show in a few clinical samples that it was possible to detect a category of EBV microRNAs called miR-BARTs in the plasma of at least a fraction of NPC patients. The first aim of the present study was to investigate the status of circulating miR-BART17-5p (one of the miR-BARTs hereafter called miR-BART17) and EBV DNA in a larger series of NPC plasma samples. The second aim was to determine whether or not circulating miR-BART17 was carried by plasma exosomes. Patients and methods: Plasma samples were collected from 26 NPC patients and 10 control donors, including 9 patients with non-NPC Head and Neck squamous cell carcinoma and one healthy EBV carrier. Concentrations of miR-BART17 and two cellular microRNAs (hsa-miR-16 and -146a) were assessed by real-time quantitative PCR with spike-in normalization and absolute quantification. In addition, for 2 patients, exosome distributions of miR-BART17 and miR-16 were investigated following plasma lipoprotein fractionation by isopycnic density gradient ultrcentrifugation. Results: The miR-BART17 was significantly more abundant in plasma samples from NPC patients compared to non-NPC donors. Above a threshold of 506 copies/mL, detection of miR-BART17 was highly specific for NPC patients (ROC curve analysis: AUC=0.87 with true positive rate = 0.77, false positive rate = 0.10). In this relatively small series, the concentration of plasma miR-BART17 and the plasma EBV DNA load were not correlated. When plasma samples were fractionated, miR-BART17 co-purified with a protein-rich fraction but not with exosomes. Conclusions: Detection of high concentrations of plasma miR-BART17 is consistent in NPC patients. This parameter is, at least in part, independent of the viral DNA load. Circulating miR-BART17 does not co-purify with exosomes.</t>
  </si>
  <si>
    <t>[Gourzones, Claire; Ferrand, Francois-Regis; Verillaud, Benjamin; Barat, Ana; Gattolliat, Charles-Henry; Gelin, Aurore; Klibi, Jihene; Jimenez-Pailhes, Anne-Sophie; Busson, Pierre] Univ Paris 11, CNRS UMR 8126, F-94805 Villejuif, France; [Gourzones, Claire; Ferrand, Francois-Regis; Verillaud, Benjamin; Barat, Ana; Gattolliat, Charles-Henry; Gelin, Aurore; Klibi, Jihene; Jimenez-Pailhes, Anne-Sophie; Busson, Pierre] Inst Cancerol Gustave Roussy, F-94805 Villejuif, France; [Ferrand, Francois-Regis] Ecole Val de Grace, F-75005 Paris, France; [Amiel, Corinne; Schneider, Veronique] Hop Tenon, Dept Virol, F-75020 Paris, France; [Verillaud, Benjamin] Hop Lariboisiere, Head &amp; Neck Dept, F-75010 Paris, France; [Guerin, Maryse] Univ Paris 06, Hop Pitie, INSERM UMRS 939, F-75013 Paris, France; [Ben Chaaben, Arij; Guemira, Fethi] Inst Salah Azaiz, Dept Biol Clin, Tunis, Tunisia; [Guigay, Joel] Inst Cancerol Gustave Roussy, Head &amp; Neck Tumors Dept, F-94805 Villejuif, France; [Lang, Philippe] Hop La Pitie Salpetriere, Dept Radiotherapy, F-75013 Paris, France</t>
  </si>
  <si>
    <t>Centre National de la Recherche Scientifique (CNRS); CNRS - National Institute for Biology (INSB); UDICE-French Research Universities; Universite Paris Saclay; UNICANCER; Gustave Roussy; Assistance Publique Hopitaux Paris (APHP); Hopital Universitaire Tenon - APHP; UDICE-French Research Universities; Sorbonne Universite; Assistance Publique Hopitaux Paris (APHP); Hopital Universitaire Lariboisiere-Fernand-Widal - APHP; UDICE-French Research Universities; Universite de Paris; Assistance Publique Hopitaux Paris (APHP); Hopital Universitaire Pitie-Salpetriere - APHP; Institut National de la Sante et de la Recherche Medicale (Inserm); UDICE-French Research Universities; Sorbonne Universite; Universite de Tunis-El-Manar; Institut Salah Azaiez; UNICANCER; Gustave Roussy; Assistance Publique Hopitaux Paris (APHP); Hopital Universitaire Pitie-Salpetriere - APHP; UDICE-French Research Universities; Sorbonne Universite</t>
  </si>
  <si>
    <t>Busson, P (corresponding author), Univ Paris 11, CNRS UMR 8126, 39 Rue Camille Desmoulins, F-94805 Villejuif, France.</t>
  </si>
  <si>
    <t>pierre.busson@igr.fr</t>
  </si>
  <si>
    <t>Guerin, Maryse/N-5794-2017; Verillaud, Benjamin/AAM-5105-2020; AMIEL, Corinne/B-7854-2012</t>
  </si>
  <si>
    <t>AMIEL, Corinne/0000-0002-1144-4868; GUERIN, Maryse/0000-0003-0150-1360; Verillaud, Benjamin/0000-0003-0611-4570; Busson, Pierre/0000-0003-1027-3400</t>
  </si>
  <si>
    <t>APR 16</t>
  </si>
  <si>
    <t>10.1186/1743-422X-10-119</t>
  </si>
  <si>
    <t>WOS:000320517400001</t>
  </si>
  <si>
    <t>San Lucas, FA; Allenson, K; Bernard, V; Castillo, J; Kim, DU; Ellis, K; Ehli, EA; Davies, GE; Petersen, JL; Li, D; Wolff, R; Katz, M; Varadhachary, G; Wistuba, I; Maitra, A; Alvarez, H</t>
  </si>
  <si>
    <t>San Lucas, F. A.; Allenson, K.; Bernard, V.; Castillo, J.; Kim, D. U.; Ellis, K.; Ehli, E. A.; Davies, G. E.; Petersen, J. L.; Li, D.; Wolff, R.; Katz, M.; Varadhachary, G.; Wistuba, I.; Maitra, A.; Alvarez, H.</t>
  </si>
  <si>
    <t>Minimally invasive genomic and transcriptomic profiling of visceral cancers by next-generation sequencing of circulating exosomes</t>
  </si>
  <si>
    <t>liquid biopsy; exosomes; pancreatic cancer; next-generation sequencing</t>
  </si>
  <si>
    <t>PANCREATIC-CANCER; PLASMA; DNA; RNA; IMMUNOTHERAPY; CARCINOMAS; KRAS</t>
  </si>
  <si>
    <t>High-resolution profiling of the genomic and transcriptomic landscapes of visceral cancers using the DNA and RNA of tumor shed exosomes has the potential to be used as a clinical tool for cancer diagnosis, therapeutic stratification and treatment monitoring, precluding the need for direct tumor sampling.The ability to perform comprehensive profiling of cancers at high resolution is essential for precision medicine. Liquid biopsies using shed exosomes provide high-quality nucleic acids to obtain molecular characterization, which may be especially useful for visceral cancers that are not amenable to routine biopsies. We isolated shed exosomes in biofluids from three patients with pancreaticobiliary cancers (two pancreatic, one ampullary). We performed comprehensive profiling of exoDNA and exoRNA by whole genome, exome and transcriptome sequencing using the Illumina HiSeq 2500 sequencer. We assessed the feasibility of calling copy number events, detecting mutational signatures and identifying potentially actionable mutations in exoDNA sequencing data, as well as expressed point mutations and gene fusions in exoRNA sequencing data. Whole-exome sequencing resulted in 95%-99% of the target regions covered at a mean depth of 133-490x. Genome-wide copy number profiles, and high estimates of tumor fractions (ranging from 56% to 82%), suggest robust representation of the tumor DNA within the shed exosomal compartment. Multiple actionable mutations, including alterations in NOTCH1 and BRCA2, were found in patient exoDNA samples. Further, RNA sequencing of shed exosomes identified the presence of expressed fusion genes, representing an avenue for elucidation of tumor neoantigens. We have demonstrated high-resolution profiling of the genomic and transcriptomic landscapes of visceral cancers. A wide range of cancer-derived biomarkers could be detected within the nucleic acid cargo of shed exosomes, including copy number profiles, point mutations, insertions, deletions, gene fusions and mutational signatures. Liquid biopsies using shed exosomes has the potential to be used as a clinical tool for cancer diagnosis, therapeutic stratification and treatment monitoring, precluding the need for direct tumor sampling.</t>
  </si>
  <si>
    <t>[San Lucas, F. A.; Wistuba, I.; Maitra, A.] Univ Texas MD Anderson Canc Ctr, Dept Translat Mol Pathol, Houston, TX 77030 USA; [San Lucas, F. A.; Bernard, V.; Castillo, J.; Kim, D. U.; Ellis, K.; Maitra, A.; Alvarez, H.] Univ Texas MD Anderson Canc Ctr, Dept Pathol, Houston, TX 77030 USA; [Allenson, K.] Univ Texas MD Anderson Canc Ctr, Dept Surg Oncol, Houston, TX 77030 USA; [Bernard, V.] Univ Texas Houston, Grad Sch Biomed Sci Houston, Houston, TX USA; [Ehli, E. A.; Davies, G. E.; Petersen, J. L.] Avera Inst Human Genet, Sioux Falls, SD USA; [Li, D.; Wolff, R.; Katz, M.; Varadhachary, G.] Univ Texas MD Anderson Canc Ctr, Dept Gastrointestinal GI Med Oncol, Houston, TX 77030 USA; [Maitra, A.] Univ Texas MD Anderson Canc Ctr, Sheikh Ahmed Pancreat Canc Res Ctr, 6565 MD Anderson Blvd Z3-3038, Houston, TX 77030 USA</t>
  </si>
  <si>
    <t>University of Texas System; UTMD Anderson Cancer Center; University of Texas System; UTMD Anderson Cancer Center; University of Texas System; UTMD Anderson Cancer Center; University of Texas System; University of Texas Health Science Center Houston; University of Texas System; UTMD Anderson Cancer Center; University of Texas System; UTMD Anderson Cancer Center</t>
  </si>
  <si>
    <t>Maitra, A (corresponding author), Univ Texas MD Anderson Canc Ctr, Sheikh Ahmed Pancreat Canc Res Ctr, 6565 MD Anderson Blvd Z3-3038, Houston, TX 77030 USA.</t>
  </si>
  <si>
    <t>amaitra@mdanderson.org</t>
  </si>
  <si>
    <t>Bernard, Vincent/0000-0003-1555-608X</t>
  </si>
  <si>
    <t>10.1093/annonc/mdv604</t>
  </si>
  <si>
    <t>WOS:000374237700011</t>
  </si>
  <si>
    <t>Xu, HY; Nottingham, RM; Lambowitz, AM</t>
  </si>
  <si>
    <t>Xu, Hengyi; Nottingham, Ryan M.; Lambowitz, Alan M.</t>
  </si>
  <si>
    <t>TGIRT-seq Protocol for the Comprehensive Profiling of Coding and Non-coding RNA Biotypes in Cellular, Extracellular Vesicle, and Plasma RNAs</t>
  </si>
  <si>
    <t>BIO-PROTOCOL</t>
  </si>
  <si>
    <t>Group II intron reverse transcriptase; Non-LTR-retroelement; Reverse transcriptase; RNA-seq; Template switching; Transcriptomics; Illumina sequencing</t>
  </si>
  <si>
    <t>REVERSE-TRANSCRIPTASE; GENERATION; EFFICIENT; BROAD</t>
  </si>
  <si>
    <t>High-throughput RNA sequencing (RNA-seq) has extraordinarily advanced our understanding of gene expression and disease etiology, and is a powerful tool for the identification of biomarkers in a wide range of organisms. However, most RNA-seq methods rely on retroviral reverse transcriptases (RTs), enzymes that have inherently low fidelity and processivity, to convert RNAs into cDNAs for sequencing. Here, we describe an RNA-seq protocol using Thermostable Group II Intron Reverse Transcriptases (TGIRTs), which have high fidelity, processivity, and strand-displacement activity, as well as a proficient template-switching activity that enables efficient and seamless RNA-seq adapter addition. By combining these activities, TGIRT-seq enables the simultaneous profiling of all RNA biotypes from small amounts of starting material, with superior RNA-seq metrics, and unprecedented ability to sequence structured RNAs. The TGIRT-seq protocol for Illumina sequencing consists of three steps: (i) addition of a 3' RNA-seq adapter, coupled to the initiation of cDNA synthesis at the 3' end of a target RNA, via template switching from a synthetic adapter RNA/DNA starter duplex; (ii) addition of a 5' RNA-seq adapter, by using thermostable 5' App DNA/RNA ligase to ligate an adapter oligonucleotide to the 3' end of the completed cDNA; (iii) minimal PCR amplification, to add capture sites and indices for Illumina sequencing. TGIRT-seq for the Illumina sequencing platform has been used for comprehensive profiling of coding and non-coding RNAs in ribodepleted, chemically fragmented cellular RNAs, and for the analysis of intact (non-chemically fragmented) cellular, extracellular vesicle (EV), and plasma RNAs, where it yields continuous full-length end-to-end sequences of structured small non-coding RNAs (sncRNAs), including tRNAs, snoRNAs, snRNAs, pre-miRNAs, and full-length excised linear intron (FLEXI) RNAs. [GRAPHICS] .</t>
  </si>
  <si>
    <t>[Xu, Hengyi; Nottingham, Ryan M.; Lambowitz, Alan M.] Univ Texas Austin, Dept Mol Biosci &amp; Oncol, Austin, TX 78712 USA</t>
  </si>
  <si>
    <t>University of Texas System; University of Texas Austin</t>
  </si>
  <si>
    <t>Lambowitz, AM (corresponding author), Univ Texas Austin, Dept Mol Biosci &amp; Oncol, Austin, TX 78712 USA.</t>
  </si>
  <si>
    <t>lambowitz@austin.utexas.edu</t>
  </si>
  <si>
    <t>2331-8325</t>
  </si>
  <si>
    <t>DEC 5</t>
  </si>
  <si>
    <t>e4239</t>
  </si>
  <si>
    <t>10.21769/BioProtoc.4239</t>
  </si>
  <si>
    <t>WOS:000729206600013</t>
  </si>
  <si>
    <t>Armacki, M; Polaschek, S; Waldenmaier, M; Morawe, M; Ruhland, C; Schmid, R; Lechel, A; Tharehalli, U; Steup, C; Bektas, Y; Li, HX; Kraus, JM; Kestler, HA; Kruger, S; Ormanns, S; Walther, P; Eiseler, T; Seufferlein, T</t>
  </si>
  <si>
    <t>Armacki, Milena; Polaschek, Sandra; Waldenmaier, Mareike; Morawe, Mareen; Ruhland, Claudia; Schmid, Rebecca; Lechel, Andre; Tharehalli, Umesh; Steup, Christoph; Bektas, Yasin; Li, Hongxia; Kraus, Johann M.; Kestler, Hans A.; Kruger, Stephan; Ormanns, Steffen; Walther, Paul; Eiseler, Tim; Seufferlein, Thomas</t>
  </si>
  <si>
    <t>Protein Kinase D1, Reduced in Human Pancreatic Tumors, Increases Secretion of Small Extracellular Vesicles From Cancer Cells That Promote Metastasis to Lung in Mice</t>
  </si>
  <si>
    <t>GASTROENTEROLOGY</t>
  </si>
  <si>
    <t>Cytoskeleton; Cytoskeletal Organization; Invasion; Multivesicular Bodies</t>
  </si>
  <si>
    <t>EPITHELIAL-MESENCHYMAL TRANSITION; ACTIN POLYMERIZATION; INDEPENDENT GROWTH; EXOSOMES; CORTACTIN; BIOGENESIS; INVASION; PHOSPHORYLATION; FIBROBLASTS; EXPRESSION</t>
  </si>
  <si>
    <t>BACKGROUND &amp; AIMS: Pancreatic tumor cells release small extracellular vesicles (sEVs, exosomes) that contain lipids and proteins, RNA, and DNA molecules that might promote formation of metastases. It is not clear what cargo these vesicles contain and how they are released. Protein kinase D1 (PRKD1) inhibits cell motility and is believed to be dysregulated in pancreatic ductal adenocarcinomas. We investigated whether it regulates production of sEVs in pancreatic cancer cells and their ability to form premetastatic niches for pancreatic cancer cells in mice. METHODS: We analyzed data from UALCAN and human pancreatic tissue microarrays to compare levels of PRKD1 between tumor and nontumor tissues. We studied mice with pancreas-specific disruption of Prkd1 (PRKD1KO mice), mice that express oncogenic KRAS (KC mice), and KC mice with disruption of Prkd1 (PRKD1KO-KC mice). Subcutaneous xenograft tumors were grown in NSG mice from Panc1 cells; some mice were then given injections of sEVs. Pancreata and lung tissues from mice were analyzed by histology, immunohistochemistry, and/or quantitative polymerase chain reaction; we performed nanoparticle tracking analysis of plasma sEVs. The Prkd1 gene was disrupted in Panc1 cells using CRISPR-Cas9 or knocked down with small hairpin RNAs, or PRKD1 activity was inhibited with the selective inhibitor CRT0066101. Pancreatic cancer cell lines were analyzed by gene-expression microarray, quantitative polymerase chain reaction, immunoblot, and immunofluorescence analyses. sEVs secreted by Panc1 cell lines were analyzed by flow cytometry, transmission electron microscopy, and mass spectrometry. RESULTS: Levels of PRKD1 were reduced in human pancreatic ductal adenocarcinoma tissues compared with nontumor tissues. PRKD1KO-KC mice developed more pancreatic intraepithelial neoplasia, at a faster rate, than KC mice, and had more lung metastases and significantly shorter average survival time. Serum from PRKD1KO-KC mice had increased levels of sEVs compared with KC mice. Pancreatic cancer cells with loss or inhibition of PRKD1 increased secretion of sEVs; loss of PRKD1 reduced phosphorylation of its substrate, cortactin, resulting in increased F-actin levels at the plasma membrane. sEVs from cells with loss or reduced expression of PRKD1 had altered content, and injection of these sEVs into mice increased metastasis of xenograft tumors to lung, compared with sEVs from pancreatic cells that expressed PRKD1. PRKD1-deficient pancreatic cancer cells showed increased loading of integrin a6b4 into sEVs-a process that required CD82. CONCLUSIONS: Human pancreatic ductal adenocarcinoma has reduced levels of PRKD1 compared with nontumor pancreatic tissues. Loss of PRKD1 results in reduced phosphorylation of cortactin in pancreatic cancer cell lines, resulting in increased in F-actin at the plasma membrane and increased release of sEVs, with altered content. These sEVs promote metastasis of xenograft and pancreatic tumors to lung in mice.</t>
  </si>
  <si>
    <t>[Armacki, Milena; Polaschek, Sandra; Waldenmaier, Mareike; Morawe, Mareen; Ruhland, Claudia; Schmid, Rebecca; Lechel, Andre; Tharehalli, Umesh; Steup, Christoph; Bektas, Yasin; Li, Hongxia; Eiseler, Tim; Seufferlein, Thomas] Univ Hosp Ulm, Dept Internal Med 1, Albert Einstein Allee 23, D-89081 Ulm, Germany; [Kraus, Johann M.; Kestler, Hans A.] Ulm Univ, Inst Med Syst Biol, Ulm, Germany; [Kruger, Stephan] Ludwig Maximilian Univ Munich, Univ Hosp, Dept Med 3, Munich, Germany; [Ormanns, Steffen] Ludwig Maximilian Univ Munich, Fac Med, Inst Pathol, Munich, Germany; [Walther, Paul] Univ Ulm, Cent Facil Electron Microscopy, Ulm, Germany</t>
  </si>
  <si>
    <t>Ulm University; Ulm University; University of Munich; University of Munich; Ulm University</t>
  </si>
  <si>
    <t>Eiseler, T; Seufferlein, T (corresponding author), Univ Hosp Ulm, Dept Internal Med 1, Albert Einstein Allee 23, D-89081 Ulm, Germany.</t>
  </si>
  <si>
    <t>tim.eiseler@uniklinik-ulm.de; thomas.seufferlein@uniklinik-ulm.de</t>
  </si>
  <si>
    <t>Lechel, André/AAQ-2041-2021; Kestler, Hans A./D-5799-2012</t>
  </si>
  <si>
    <t>Lechel, André/0000-0003-0221-6959; Kestler, Hans A./0000-0002-4759-5254; Armacki, Milena/0000-0002-5782-4524; Tharehalli, Umesh/0000-0002-4907-5017; Waldenmaier, Mareike/0000-0002-6220-512X</t>
  </si>
  <si>
    <t>0016-5085</t>
  </si>
  <si>
    <t>1528-0012</t>
  </si>
  <si>
    <t>10.1053/j.gastro.2020.05.052</t>
  </si>
  <si>
    <t>Gastroenterology &amp; Hepatology</t>
  </si>
  <si>
    <t>WOS:000573089700006</t>
  </si>
  <si>
    <t>Yamada, T; Shigemura, H; Ishiguro, N; Inoshima, Y</t>
  </si>
  <si>
    <t>Yamada, Tetsuya; Shigemura, Hiroaki; Ishiguro, Naotaka; Inoshima, Yasuo</t>
  </si>
  <si>
    <t>Cell Infectivity in Relation to Bovine Leukemia Virus gp51 and p24 in Bovine Milk Exosomes</t>
  </si>
  <si>
    <t>STRUCTURES L-PARTICLES; RNA; TRANSMISSION; CATTLE; IDENTIFICATION; ASSOCIATION; MICRORNAS; TEGUMENT; PLASMA; BLOOD</t>
  </si>
  <si>
    <t>Exosomes are small membranous microvesicles (40-100 nm in diameter) and are extracellularly released from a wide variety of cells. Exosomes contain microRNA, mRNA, and cellular proteins, which are delivered into recipient cells via these exosomes, and play a role in intercellular communication. In bovine leukemia virus (BLV) infection of cattle, although it is thought to be a minor route of infection, BLV can be transmitted to calves via milk. Here, we investigated the association between exosomes and BLV in bovine milk. BLV structural proteins, gp51 (Env) and p24 (Gag), were detected in bovine milk exosomes from BLV-infected cattle by Western blot analysis. In cells inoculated with these milk exosomes, BLV DNA was not detected during three serial passages by nested PCR. Purification of exosomes from persistently BLV-infected cells was achieved by immuno-magnetic separation using an antibody against exosomes coupled to magnetic beads. Consistently, BLV gp51 and p24 proteins were detected in purified exosomes. Moreover, reverse transcriptase activity was observed in purified exosomes, meaning that exosomes also contain viral enzyme. However, BLV DNA was not detected in serially passaged cells after inoculation of purified exosomes, indicating that exosomes carrying BLV proteins appeared to be not infectious. These results suggest that BLV proteins are released with milk exosomes and could be transferred into recipient cells of calves via milk exosomes as an alternative route not requiring virus infection. Moreover it is also possible that bovine milk exosomes play a role in clearance of BLV proteins from infected cells.</t>
  </si>
  <si>
    <t>[Yamada, Tetsuya; Shigemura, Hiroaki; Ishiguro, Naotaka; Inoshima, Yasuo] Gifu Univ, Dept Vet Med, Gifu, Japan</t>
  </si>
  <si>
    <t>Gifu University</t>
  </si>
  <si>
    <t>Inoshima, Y (corresponding author), Gifu Univ, Dept Vet Med, Gifu, Japan.</t>
  </si>
  <si>
    <t>inoshima@gifu-u.ac.jp</t>
  </si>
  <si>
    <t>OCT 17</t>
  </si>
  <si>
    <t>e77359</t>
  </si>
  <si>
    <t>10.1371/journal.pone.0077359</t>
  </si>
  <si>
    <t>WOS:000326022200033</t>
  </si>
  <si>
    <t>Verheul, C; Kleijn, A; Lamfers, MLM</t>
  </si>
  <si>
    <t>Deisenhammer, F; Teunissen, CE; Tumani, H</t>
  </si>
  <si>
    <t>Verheul, Cassandra; Kleijn, Anne; Lamfers, Martine L. M.</t>
  </si>
  <si>
    <t>Cerebrospinal fluid biomarkers of malignancies located in the central nervous system</t>
  </si>
  <si>
    <t>CEREBROSPINAL FLUID IN NEUROLOGIC DISORDERS</t>
  </si>
  <si>
    <t>Handbook of Clinical Neurology</t>
  </si>
  <si>
    <t>EPSTEIN-BARR-VIRUS; ENDOTHELIAL GROWTH-FACTOR; NON-HODGKINS-LYMPHOMA; POLYMERASE-CHAIN-REACTION; OCCULT LEPTOMENINGEAL DISEASE; B-CELL LYMPHOMA; FLOW-CYTOMETRIC ANALYSIS; GLIOBLASTOMA STEM-CELLS; BREAST-CANCER PATIENTS; TUMOR-DERIVED DNA</t>
  </si>
  <si>
    <t>CNS malignancies include primary tumors that originate within the CNS as well as secondary tumors that develop as a result of metastatic cancer. The delicate nature of the nervous systems makes tumors located in the CNS notoriously difficult to reach, which poses several problems during diagnosis and treatment. CSF can be acquired relatively easy through lumbar puncture and offers an important compartment for analysis of cells and molecules that carry information about the malignant process. Such techniques have opened up a new field of research focused on the identification of specific biomarkers for several types of CNS malignancies, which may help in diagnosis and monitoring of tumor progression or treatment response. Biomarkers are sought in DNA, (micro) RNA, proteins, exosomes and circulating tumor cells in the CSF. Techniques are rapidly progressing to assess these markers with increasing sensitivity and specificity, and correlations with clinical parameters are being investigated. It is expected that these efforts will, in the near future, yield clinically relevant markers that aid in diagnosis, monitoring and (tailored) treatment of patients bearing CNS tumors. This chapter provides a summary of the current state of affairs of the field of biomarkers of different types of CNS tumors.</t>
  </si>
  <si>
    <t>[Verheul, Cassandra; Kleijn, Anne; Lamfers, Martine L. M.] Erasmus MC, Brain Tumor Ctr, Dept Neurosurg, Wytemaweg 80, NL-3015 CN Rotterdam, Netherlands</t>
  </si>
  <si>
    <t>Erasmus University Rotterdam; Erasmus MC</t>
  </si>
  <si>
    <t>Lamfers, MLM (corresponding author), Erasmus MC, Brain Tumor Ctr, Dept Neurosurg, Wytemaweg 80, NL-3015 CN Rotterdam, Netherlands.</t>
  </si>
  <si>
    <t>M.Lamfers@erasmusmc.nl</t>
  </si>
  <si>
    <t>Lamfers, Martine/0000-0001-7745-9029</t>
  </si>
  <si>
    <t>0072-9752</t>
  </si>
  <si>
    <t>978-0-12-804324-0; 978-0-12-804279-3</t>
  </si>
  <si>
    <t>10.1016/B978-0-12-804279-3.00010-1</t>
  </si>
  <si>
    <t>WOS:000472710600012</t>
  </si>
  <si>
    <t>Zhang, JL; Shi, JJ; Liu, W; Zhang, KX; Zhao, HJ; Zhang, HL; Zhang, ZZ</t>
  </si>
  <si>
    <t>Zhang, Junli; Shi, Jinjin; Liu, Wei; Zhang, Kaixiang; Zhao, Hongjuan; Zhang, Hongling; Zhang, Zhenzhong</t>
  </si>
  <si>
    <t>A simple, specific and on-off type MUC1 fluorescence aptasensor based on exosomes for detection of breast cancer</t>
  </si>
  <si>
    <t>Exosomes; On-off type aptasensor; Breast cancer; Tumor diagnosis; MUC1</t>
  </si>
  <si>
    <t>STRANDED-DNA; THERAPY; CELLS; MCF-7; NANOPARTICLES; APTAMERS; SENSOR; BLOOD; SERUM</t>
  </si>
  <si>
    <t>Numerous studies have demonstrated tumor-derived exosomes (TEX) as an ideal biomarker for cancer. However, most present exosome detection methods were cumbersome and expensive, simple and specific detection of TEX in the blood still remained a challenging task. To solve the above problem, we found firstly that MUC1 was highly expressed on the surface of exosomes secreted by MCF-7 cells compared to other cells. Here, we designed an on-off-type aptasensor based on MUC1 activation on TEX. In the absence of TEX, the aptasensor was off state. Once in the presence of TEX, the aptasensor recognized the MUC1 on TEX and then turned on state, resulting in emitting a fluorescence signal. We used the aptasensor to detect exosomes derived from MCF-7, MCF-7/ADR, A549, MGC-803 and Hs578Bst cells and blood serum from breast cancer patients and healthy donors. The fluorescence signal value of exosomes from serum in breast cancer patients was markedly higher than healthy donors, which were a significant difference between the two groups (P &lt; 0.05). Consequently, the method based on exosomes with high sensitivity, specificity and small amount sample were very likely to be used for breast cancer diagnosis. More importantly, this method can be universally applicable for other tumor diagnosis by changing the aptamer.</t>
  </si>
  <si>
    <t>[Zhang, Junli; Shi, Jinjin; Liu, Wei; Zhang, Kaixiang; Zhao, Hongjuan; Zhang, Hongling; Zhang, Zhenzhong] Zhengzhou Univ, Sch Pharmaceut Sci, Zhengzhou, Henan, Peoples R China; [Zhang, Hongling; Zhang, Zhenzhong] Key Lab Targeting Therapy &amp; Diag Crit Dis, Zhengzhou, Henan, Peoples R China; [Zhang, Hongling; Zhang, Zhenzhong] Collaborat Innovat Ctr New Drug Res &amp; Safety Eval, Zhengzhou, Henan, Peoples R China</t>
  </si>
  <si>
    <t>Zhang, HL; Zhang, ZZ (corresponding author), 100 Kexue Ave, Zhengzhou 450001, Henan, Peoples R China.</t>
  </si>
  <si>
    <t>zhanghongling729@zzu.edu.cn; zhangzhenzhong@zzu.edu.cn</t>
  </si>
  <si>
    <t>10.1016/j.snb.2018.08.056</t>
  </si>
  <si>
    <t>WOS:000444637600069</t>
  </si>
  <si>
    <t>Xiong, YM; He, LL; Yang, M; Wang, Y; Liu, XL; Ma, SS; Yang, B; Guan, FX</t>
  </si>
  <si>
    <t>Xiong, Yamin; He, Leiliang; Yang, Meng; Wang, Ya; Liu, Xinlian; Ma, Shanshan; Yang, Bo; Guan, Fangxia</t>
  </si>
  <si>
    <t>Proximity hybridization-mediated fluorescence resonance energy transfer for highly specific detection of tumor-derived exosomes: Combining multiple exosomal surface markers</t>
  </si>
  <si>
    <t>Exosomes; Combined detection of multiple markers; Proximity hybridization; Fluorescence resonance energy transfer; Lung cancer</t>
  </si>
  <si>
    <t>SIGNAL AMPLIFICATION STRATEGY; LIQUID BIOPSIES; CANCER; DNA; TARGET; CELLS</t>
  </si>
  <si>
    <t>Highly specific detection of tumor-derived exosomes is of great significance to improve the accuracy of diagnosis of cancer. Herein, based on the proximity hybridization-mediated fluorescence resonance energy transfer (FRET), a novel strategy for highly specific detection of tumor-derived exosomes was proposed by combining detection of multiple exosomal surface markers. Exosomes were enriched and separated by CD63 aptamer-functionalized nanomagnetic beads; a pair of FAM-labeled proximity probes simultaneously bind to EGFR and EpCAM on exosomes surface, which could mediate the formation of a stable DNA self-assemble complex with TAMRA-labeled signal probes through proximity hybridization, and then trigger the FRET between FAM and TAMRA to achieve highly specific detection of exosomes co-expressed CD63/EGFR/EpCAM with a LOD of 400 particles/mu L. The relative standard deviation was lower than 7.3% in 50% UC-FBS due to the ratiometric signal improving its anti-interference ability. Importantly, in addition to effectively distinguish exosomes derived from A549 cells and BEAS-2B cells, the feasibility of exosomes detection in human serum was verified, and the level of exosomes co-expressed CD63/EGFR/EpCAM in non-small cell lung cancer patients (n = 15) was significantly higher than that of healthy people (n = 15) (P &lt; 0.001). Moreover, this strategy was universal for the detection of other tumor-derived exosomes just by replacing the corresponding aptamers.</t>
  </si>
  <si>
    <t>[Xiong, Yamin; Yang, Bo] Zhengzhou Univ, Affiliated Hosp 1, Dept Neurosurg, 1 Jianshe East Rd, Zhengzhou 450001, Peoples R China; [Xiong, Yamin; Ma, Shanshan; Guan, Fangxia] Zhengzhou Univ, Sch Life Sci, 100 Sci Ave, Zhengzhou 450001, Peoples R China; [He, Leiliang; Wang, Ya; Liu, Xinlian] Zhengzhou Univ, Coll Publ Hlth, Zhengzhou 450001, Peoples R China; [Yang, Meng] Yuxi Normal Univ, Coll Chem Biol &amp; Environm, Yuxi 653100, Peoples R China</t>
  </si>
  <si>
    <t>Zhengzhou University; Zhengzhou University; Zhengzhou University; Yuxi Normal University</t>
  </si>
  <si>
    <t>Yang, B (corresponding author), Zhengzhou Univ, Affiliated Hosp 1, Dept Neurosurg, 1 Jianshe East Rd, Zhengzhou 450001, Peoples R China.;Guan, FX (corresponding author), Zhengzhou Univ, Sch Life Sci, 100 Sci Ave, Zhengzhou 450001, Peoples R China.</t>
  </si>
  <si>
    <t>yangbo96@126.com; fxguan@126.com</t>
  </si>
  <si>
    <t>FEB 15</t>
  </si>
  <si>
    <t>10.1016/j.snb.2021.131126</t>
  </si>
  <si>
    <t>WOS:000744546700003</t>
  </si>
  <si>
    <t>Sung, CY; Huang, CC; Chen, YS; Hsu, KF; Lee, GB</t>
  </si>
  <si>
    <t>Sung, Chia-Yu; Huang, Chi-Chien; Chen, Yi-Sin; Hsu, Keng-Fu; Lee, Gwo-Bin</t>
  </si>
  <si>
    <t>Isolation and quantification of extracellular vesicle-encapsulated microRNA on an integrated microfluidic platform</t>
  </si>
  <si>
    <t>ISOTHERMAL AMPLIFICATION; DNA; SERUM; PERSPECTIVES; SYSTEM; LAMP; PCR</t>
  </si>
  <si>
    <t>Ovarian cancer (OvCa) is the most fatal among gynecological cancers and affects many women worldwide. Since OvCa is prone to metastasis, which significantly increases chances of death, biomarkers for early-stage OvCa are greatly needed. This study develops an integrated microfluidic platform for isolating and quantifying one of the OvCa blood biomarkers. As a demonstration, microRNA-21 (miRNA-21), which is one of the important biomarkers for cancers, was isolated and measured in this study. Extracellular vesicles (EVs) in blood were first captured and isolated by anti-CD63-coated magnetic beads. Then, EV-encapsulated miRNA-21 was isolated by complementary DNA-coated magnetic beads, and finally the isolated miRNA-21 was quantified by digital polymerase chain reaction (digital PCR, dPCR). The integrated chip featured a sample treatment module and a miRNA quantification module that automated the entire process, and the limit of detection (LOD) was 11 copies per mL. The inaccuracy of the miRNA quantification module (i.e. dPCR) was found to be &lt;12%. Additionally, spiked samples and clinical samples were used to test the performance of the developed platform. It is envisioned that the developed system can serve as a valuable and promising tool for OvCa biomarker measurements.</t>
  </si>
  <si>
    <t>[Sung, Chia-Yu] Natl Tsing Hua Univ, Dept Life Sci, Hsinchu 30013, Taiwan; [Huang, Chi-Chien; Chen, Yi-Sin; Lee, Gwo-Bin] Natl Tsing Hua Univ, Dept Power Mech Engn, Hsinchu 30013, Taiwan; [Hsu, Keng-Fu] Natl Cheng Kung Univ, Natl Cheng Kung Univ Hosp, Coll Med, Dept Obstet &amp; Gynecol, Tainan 70403, Taiwan; [Lee, Gwo-Bin] Natl Tsing Hua Univ, Inst NanoEngn &amp; Microsyst, Hsinchu 30013, Taiwan</t>
  </si>
  <si>
    <t>National Tsing Hua University; National Tsing Hua University; National Cheng Kung University; National Cheng Kung University Hospital; National Tsing Hua University</t>
  </si>
  <si>
    <t>Lee, GB (corresponding author), Natl Tsing Hua Univ, Dept Power Mech Engn, Hsinchu 30013, Taiwan.;Hsu, KF (corresponding author), Natl Cheng Kung Univ, Natl Cheng Kung Univ Hosp, Coll Med, Dept Obstet &amp; Gynecol, Tainan 70403, Taiwan.;Lee, GB (corresponding author), Natl Tsing Hua Univ, Inst NanoEngn &amp; Microsyst, Hsinchu 30013, Taiwan.</t>
  </si>
  <si>
    <t>d5580@mail.ncku.edu.tw; gwobin@pme.nthu.edu</t>
  </si>
  <si>
    <t>Lee, Gwo-Bin/D-3032-2012</t>
  </si>
  <si>
    <t>Lee, Gwo-Bin/0000-0001-6910-9133</t>
  </si>
  <si>
    <t>10.1039/d1lc00663k</t>
  </si>
  <si>
    <t>OCT 2021</t>
  </si>
  <si>
    <t>WOS:000714701600001</t>
  </si>
  <si>
    <t>Wang, L; Li, Y; Guan, X; Zhao, JY; Shen, LM; Liu, J</t>
  </si>
  <si>
    <t>Wang, Liang; Li, Ying; Guan, Xin; Zhao, Jingyuan; Shen, Liming; Liu, Jing</t>
  </si>
  <si>
    <t>Exosomal double-stranded DNA as a biomarker for the diagnosis and preoperative assessment of pheochromocytoma and paraganglioma</t>
  </si>
  <si>
    <t>Double-stranded DNA; Exosomes; Diagnosis biomarker; Pheochromocytoma; Paraganglioma</t>
  </si>
  <si>
    <t>MUTATIONS</t>
  </si>
  <si>
    <t>Pheochromocytomas (PCCs) and paragangliomas (PGLs) are the most heritable endocrine tumors. Genetic testing for 12 driver susceptibility genes is recommended in all PCC and PGL cases. However, detection of somatic mutations in PCC and PGL remains unrealizable for genetic diagnosis and preoperative assessment. We compared the serum exosomal DNA and tumor tissue DNA from patients or mice with PCC or PGL and found double-stranded DNA (dsDNA) fragments in the circulating exosomes of patients with PCC or PGL. Exosomal dsDNA shared the same mutations in the susceptibility genes with that of the parent tumor cells. Moreover, our research showed that serum-derived exosomal dsDNA in PCC and PGL was highly consistent with the paired tumor genome. Our findings provide the first definitive evidence of the presence of exosomal dsDNA that can be used as a noninvasive genetic marker in one of the most effective somatic mutation screens for the diagnosis and preoperative assessment of PCCs and PGLs.</t>
  </si>
  <si>
    <t>[Wang, Liang; Li, Ying; Guan, Xin; Zhao, Jingyuan; Shen, Liming; Liu, Jing] Dalian Med Univ, Regenerat Med Ctr, Natl Joint Engn Lab, Stem Cell Clin Res Ctr,Affiliated Hosp 1, 193 Lianhe Rd, Dalian 116011, Liaoning, Peoples R China</t>
  </si>
  <si>
    <t>Dalian Medical University</t>
  </si>
  <si>
    <t>Liu, J (corresponding author), Dalian Med Univ, Regenerat Med Ctr, Natl Joint Engn Lab, Stem Cell Clin Res Ctr,Affiliated Hosp 1, 193 Lianhe Rd, Dalian 116011, Liaoning, Peoples R China.</t>
  </si>
  <si>
    <t>liujing@dmu.edu.cn</t>
  </si>
  <si>
    <t>Liu, Jing/O-8529-2019; Wang, Liang/O-8394-2019</t>
  </si>
  <si>
    <t>Liu, Jing/0000-0002-0493-296X; Wang, Liang/0000-0003-1952-3525; Wang, Liang/0000-0003-2244-7535</t>
  </si>
  <si>
    <t>10.1186/s12943-018-0876-z</t>
  </si>
  <si>
    <t>WOS:000442616900001</t>
  </si>
  <si>
    <t>Naqvi, I; Gunaratne, R; McDade, JE; Moreno, A; Rempel, RE; Rouse, DC; Herrera, SG; Pisetsky, DS; Lee, J; White, RR; Sullenger, BA</t>
  </si>
  <si>
    <t>Naqvi, Ibtehaj; Gunaratne, Ruwan; McDade, Jessica E.; Moreno, Angelo; Rempel, Rachel E.; Rouse, Douglas C.; Herrera, Silvia Gabriela; Pisetsky, David S.; Lee, Jaewoo; White, Rebekah R.; Sullenger, Bruce A.</t>
  </si>
  <si>
    <t>Polymer-Mediated Inhibition of Pro-invasive Nucleic Acid DAMPs and Microvesicles Limits Pancreatic Cancer Metastasis</t>
  </si>
  <si>
    <t>MOLECULAR THERAPY</t>
  </si>
  <si>
    <t>NF-KAPPA-B; EXTRACELLULAR DNA; PROMOTE; BREAST; CELLS; ANGIOGENESIS; PROGRESSION; NUCLEOSOMES; THROMBOSIS; EXPRESSION</t>
  </si>
  <si>
    <t>Nucleic acid binding polymers (NABPs) have been extensively used as vehicles for DNA and RNA delivery. More recently, we discovered that a subset of these NABPs can also serve as anti-inflammatory agents by capturing pro-inflammatory extracellular nucleic acids and associated protein complexes that promote activation of toll-like receptors (TLRs) in diseases such as lupus erythematosus. Nucleic-acid-mediated TLR signaling also facilitates tumor progression and metastasis in several cancers, including pancreatic cancer (PC). In addition, extracellular DNAandRNAcirculate on or within lipid microvesicles, such as microparticles or exosomes, which also promote metastasis by inducing pro-tumorigenic signaling in cancer cells and pre-conditioning secondary sites for metastatic establishment. Here, we explore the use of an NABP, the 3rd generation polyamidoamine dendrimer (PAMAM-G3), as an anti-metastatic agent. We show that PAMAM-G3 not only inhibits nucleic-acid-mediated activation of TLRs and invasion of PC tumor cells in vitro, but can also directly bind extracellular microvesicles to neutralize their pro-invasive effects as well. Moreover, we demonstrate that PAMAM-G3 dramatically reduces liver metastases in a syngeneic murine model of PC. Our findings identify a promising therapeutic application of NABPs for combating metastatic disease in PC and potentially other malignancies.</t>
  </si>
  <si>
    <t>[Naqvi, Ibtehaj; Gunaratne, Ruwan; Sullenger, Bruce A.] Duke Univ, Dept Pharmacol &amp; Canc Biol, Durham, NC 27710 USA; [Naqvi, Ibtehaj; Gunaratne, Ruwan] Duke Univ, Med Scientist Training Program, Durham, NC 27710 USA; [Naqvi, Ibtehaj; Gunaratne, Ruwan; McDade, Jessica E.; Moreno, Angelo; Rempel, Rachel E.; Lee, Jaewoo; White, Rebekah R.; Sullenger, Bruce A.] Duke Univ, Dept Surg, MSRB 2 Room 1079,106 Res Dr, Durham, NC 27710 USA; [Rouse, Douglas C.] Duke Univ, Div Lab Anim Resources, Durham, NC 27710 USA; [Herrera, Silvia Gabriela] Univ N Carolina, Dept Pharmacol, Chapel Hill, NC 27514 USA; [Pisetsky, David S.] Duke Univ, Dept Med, Durham, NC 27710 USA; [White, Rebekah R.] Univ Calif San Diego, Dept Surg, La Jolla, CA 92093 USA</t>
  </si>
  <si>
    <t>Duke University; Duke University; Duke University; Duke University; University of North Carolina; University of North Carolina Chapel Hill; Duke University; University of California System; University of California San Diego</t>
  </si>
  <si>
    <t>White, RR; Sullenger, BA (corresponding author), Duke Univ, Dept Surg, MSRB 2 Room 1079,106 Res Dr, Durham, NC 27710 USA.</t>
  </si>
  <si>
    <t>rewhite@ucsd.edu; bruce.sullenger@duke.edu</t>
  </si>
  <si>
    <t>White, Rebekah/AAS-3224-2021</t>
  </si>
  <si>
    <t>McDade, Jessica/0000-0003-2260-7113; White, Rebekah/0000-0003-2185-8535</t>
  </si>
  <si>
    <t>1525-0016</t>
  </si>
  <si>
    <t>1525-0024</t>
  </si>
  <si>
    <t>10.1016/j.ymthe.2018.02.018</t>
  </si>
  <si>
    <t>Biotechnology &amp; Applied Microbiology; Genetics &amp; Heredity; Medicine, Research &amp; Experimental</t>
  </si>
  <si>
    <t>Biotechnology &amp; Applied Microbiology; Genetics &amp; Heredity; Research &amp; Experimental Medicine</t>
  </si>
  <si>
    <t>WOS:000431483400011</t>
  </si>
  <si>
    <t>Li, SL; Liu, Q; Geng, Z; Li, KY; Zhao, T; Liu, P</t>
  </si>
  <si>
    <t>Li, Shanglin; Liu, Qiang; Geng, Zhi; Li, Kaiyi; Zhao, Tian; Liu, Peng</t>
  </si>
  <si>
    <t>Anionic Polysaccharide-Modified Filter Papers for Rapid Isolation of Extracellular Vesicles from Diverse Samples in a Simple Bind-Wash-Elute Manner</t>
  </si>
  <si>
    <t>CELL LUNG-CANCER; GLYCINE BETAINE; EXOSOMES; DIAGNOSIS; MICRORNA; PROTEIN; MECHANISM</t>
  </si>
  <si>
    <t>Extracellular vesicles (EVs) play a significant role in the pathophysiological process of many diseases, highlighting their values in medical diagnosis and disease monitoring. However, the current EV isolation methods are time-consuming, inconvenient to operate, and incompatible with downstream analyses. Here, we present a novel isolation method employing anionic polysaccharide-modified filter papers for the isolation of EVs (AppiEV) via electrostatic adsorption. A disc of glass fiber-based filter modified with sodium alginate was assembled into a spin column to function as the solid capture phase. In the acidic condition, EVs were induced to carry more positively charged ions, which enable the capture of EVs by the negatively charged filter paper. After a wash, the EVs were released from the spin column using an alkaline elution buffer, which induces the EVs to carry more negative charges. The EVs isolated by AppiEV from cell culture supernatants, plasma, and urine are similar to or even better than those isolated by ultracentrifugation in terms of EV size distribution, protein distribution, and nucleic acid contents. Due to the interference removal of the EV-free RNA and DNA attributed to the negatively charged capture medium, the eluate of AppiEV could be directly used for genetic analysis, including the stem-loop RT-PCR analysis of miR-21 and the allele-specific PCR analysis of mutation genes of EGFR p.L858R and EGFR p.T790M. We believe that AppiEV offers a simple and efficient approach for the isolation of high-quality EVs from various liquid specimens.</t>
  </si>
  <si>
    <t>[Li, Shanglin; Geng, Zhi; Li, Kaiyi; Zhao, Tian; Liu, Peng] Tsinghua Univ, Sch Med, Dept Biomed Engn, Beijing 100084, Peoples R China; [Liu, Qiang] Beijing Haidian Hosp, Beijing 100080, Peoples R China</t>
  </si>
  <si>
    <t>Tsinghua University</t>
  </si>
  <si>
    <t>Liu, P (corresponding author), Tsinghua Univ, Sch Med, Dept Biomed Engn, Beijing 100084, Peoples R China.</t>
  </si>
  <si>
    <t>pliu@tsinghua.edu.cn</t>
  </si>
  <si>
    <t>Liu, Peng/0000-0003-3000-3168</t>
  </si>
  <si>
    <t>MAY 25</t>
  </si>
  <si>
    <t>10.1021/acs.analchem.0c02107</t>
  </si>
  <si>
    <t>WOS:000656519500005</t>
  </si>
  <si>
    <t>Huang, ZP; Lin, QY; Ye, X; Yang, B; Zhang, R; Chen, H; Weng, WH; Kong, JL</t>
  </si>
  <si>
    <t>Huang, Zhipeng; Lin, Qiuyuan; Ye, Xin; Yang, Bin; Zhang, Ren; Chen, Hui; Weng, Wenhao; Kong, Jilie</t>
  </si>
  <si>
    <t>Terminal deoxynucleotidyl transferase based signal amplification for enzyme-linked aptamer-sorbent assay of colorectal cancer exosomes</t>
  </si>
  <si>
    <t>CRC exosomes; TdT; Aptamer; ELASA</t>
  </si>
  <si>
    <t>SENSITIVE DETECTION; LABEL-FREE; DNA; BIOMARKERS; DIAGNOSIS; HYBRIDIZATION; IMMUNOASSAY; SYSTEM</t>
  </si>
  <si>
    <t>Exosomes have received increasingly significant attention and have shown great clinical value as biomarkers for a number of diseases. However, there is still a lack of a highly sensitive and visualized method for the detection of exosomes in numerous samples simultaneously. Here, we developed a high-throughput, colorimetric and simple method to detect colorectal cancer (CRC) exosomes based on terminal deoxynucleotidyl transferase (TdT)-aided ultraviolet signal amplification. Anti-A33, a CRC exosomal protein marker, was selected as a capture probe, and a facility-prepared EpCAM (CRC exosomal protein) aptamer-Au-primer complex was used as a signal probe. After the CRC exosomes were captured onto the surface of 96-well plates, the primer was extended to the poly(biotin-adenine) chains with the help of TdT, resulting in an increase in the binding amount of avidinmodified horseradish peroxidase (Av-HRP) for H2O2-mediated oxidation of 3,3 ',5,5 '-tetramethyl benzidine (TMB) in enzyme-linked aptamer-sorbent assay (ELASA). The results showed that the incorporation of ploy (biotin-A) enabled approximately 10.4-fold signal amplification. This approach achieved a linear range of 9.75 x 10(3)-1.95 x 10(6) particles/mu L for CRC cell-derived exosomes. The feasibility of the developed assay was evaluated using clinical serum samples. CRC patients (n = 16) could be clearly and successfully distinguished from healthy individuals (n = 9). Furthermore, this proposed platform holds considerable potential for the detection of different targets, simply by changing the aptamer and antibody</t>
  </si>
  <si>
    <t>[Huang, Zhipeng; Lin, Qiuyuan; Ye, Xin; Yang, Bin; Zhang, Ren; Chen, Hui; Kong, Jilie] Fudan Univ, Dept Chem, Shanghai 200438, Peoples R China; [Weng, Wenhao] Tongji Univ, Yangpu Hosp, Dept Clin Lab, Sch Med, Shanghai 200090, Peoples R China</t>
  </si>
  <si>
    <t>Fudan University; Tongji University</t>
  </si>
  <si>
    <t>Chen, H; Kong, JL (corresponding author), Fudan Univ, Dept Chem, Shanghai 200438, Peoples R China.</t>
  </si>
  <si>
    <t>chenhui@fudan.edu.cn; wengwenhao2010@163.com; jlkong@fudan.edu.cn</t>
  </si>
  <si>
    <t>Ye, Xin/ABC-6619-2020</t>
  </si>
  <si>
    <t>10.1016/j.talanta.2020.121089</t>
  </si>
  <si>
    <t>WOS:000564488700009</t>
  </si>
  <si>
    <t>Kim, MH; Rho, M; Choi, JP; Choi, HI; Park, HK; Song, WJ; Min, TK; Cho, SH; Cho, YJ; Kim, YK; Yang, S; Pyun, BY</t>
  </si>
  <si>
    <t>Kim, Min-Hye; Rho, Mina; Choi, Jun-Pyo; Choi, Hyuh-Il; Park, Han-Ki; Song, Woo-Jung; Min, Taek-Ki; Cho, Sang-Heon; Cho, Young-Joo; Kim, Yoon-Keun; Yang, Sanghwa; Pyun, Bok Yang</t>
  </si>
  <si>
    <t>A Metagenomic Analysis Provides a Culture-Independent Pathogen Detection for Atopic Dermatitis</t>
  </si>
  <si>
    <t>Atopic dermatitis; extracellular vesicle; metagenomic analysis</t>
  </si>
  <si>
    <t>EXTRACELLULAR VESICLES; KOREAN CHILDREN; DISEASE; PREVALENCE</t>
  </si>
  <si>
    <t>Purpose: Atopic dermatitis (AD) is an inflammatory skin disease, significantly affecting the quality of life. Using AD as a model system, we tested a successive identification of AD-associated microbes, followed by a culture-independent serum detection of the identified microbe. Methods: A total of 43 genomic DNA preparations from washing fluid of the cubital fossa of 6 healthy controls, skin lesions of 27 AD patients, 10 of which later received treatment (post-treatment), were subjected to high-throughput pyrosequencing on a.Roche 454 GS-FLX platform. Results: Microbial diversity was decreased in AD, and was restored following treatment. AD was characterized by the domination of Staphylococcus, Pseudomonas, and Streptococcus, whereas Alcaligenaceae (f), Sediminibacterium, and Lactococcus were characteristic of healthy skin. An enzyme-linked immunosorbent assay (ELISA) showed that serum could be used as a source for the detection of Staphylococcus aureus extracellular vesicles (EVs). S. aureus EV-specific immunoglobulin G (IgG) and immunoglobulin E (IgE) were quantified in the serum. Conclusions: A metagenomic analysis together with a serum detection of pathogen-specific EVs provides a model for successive identification and diagnosis of pathogens of AD.</t>
  </si>
  <si>
    <t>[Kim, Min-Hye; Cho, Young-Joo] Ewha Womans Univ, Dept Internal Med, Sch Med, Seoul, South Korea; [Rho, Mina] Hanyang Univ, Dept Comp Sci &amp; Engn, Seoul, South Korea; [Choi, Jun-Pyo] Univ Ulsan, Asan Inst Life Sci, Coll Med, Asan Med Ctr, Seoul, South Korea; [Choi, Hyuh-Il] Pohang Univ Sci &amp; Technol, Div Mol &amp; Life Sci, Dept Life Sci, Pohang, South Korea; [Park, Han-Ki] Ajou Univ, Dept Allergy &amp; Clin Immunol, Med Ctr, Suwon, South Korea; [Song, Woo-Jung; Cho, Sang-Heon] Seoul Natl Univ, Dept Internal Med, Coll Med, Seoul, South Korea; [Min, Taek-Ki; Pyun, Bok Yang] Soonchunhyang Univ, Dept Pediat, Pediat Allergy &amp; Resp Ctr, Soonchunhyang Univ Hosp,Coll Med, 59 Daesagwan Ro, Seoul 04401, South Korea; [Kim, Yoon-Keun; Yang, Sanghwa] Inst MD Healthcare, 9 World Cup Buk Ro 56 Gil, Seoul 03923, South Korea</t>
  </si>
  <si>
    <t>Ewha Womans University; Hanyang University; University of Ulsan; Pohang University of Science &amp; Technology (POSTECH); Ajou University; Seoul National University (SNU); Soonchunhyang University; Soonchunhyang University Hospital</t>
  </si>
  <si>
    <t>Pyun, BY (corresponding author), Soonchunhyang Univ, Dept Pediat, Pediat Allergy &amp; Resp Ctr, Soonchunhyang Univ Hosp,Coll Med, 59 Daesagwan Ro, Seoul 04401, South Korea.;Yang, S (corresponding author), Inst MD Healthcare, 9 World Cup Buk Ro 56 Gil, Seoul 03923, South Korea.</t>
  </si>
  <si>
    <t>arraychip@gmail.com; bypyun@schmc.ac.kr</t>
  </si>
  <si>
    <t>Park, Han-Ki/0000-0002-5460-9917</t>
  </si>
  <si>
    <t>10.4168/aair.2017.9.5.453</t>
  </si>
  <si>
    <t>WOS:000409288100011</t>
  </si>
  <si>
    <t>Ma, R; Li, T; Cao, M; Si, Y; Wu, X; Zhao, L; Yao, Z; Zhang, Y; Fang, S; Deng, R; Novakovic, VA; Bi, Y; Kou, J; Yu, B; Yang, S; Wang, J; Zhou, J; Shi, J</t>
  </si>
  <si>
    <t>Ma, R.; Li, T.; Cao, M.; Si, Y.; Wu, X.; Zhao, L.; Yao, Z.; Zhang, Y.; Fang, S.; Deng, R.; Novakovic, V. A.; Bi, Y.; Kou, J.; Yu, B.; Yang, S.; Wang, J.; Zhou, J.; Shi, J.</t>
  </si>
  <si>
    <t>Extracellular DNA traps released by acute promyelocytic leukemia cells through autophagy</t>
  </si>
  <si>
    <t>CANCER-ASSOCIATED THROMBOSIS; TRANS-RETINOIC ACID; PHOSPHATIDYLSERINE EXPOSURE; NET FORMATION; ALPHA; RESISTANCE; DISEASE; DEATH; DIFFERENTIATION; INDUCTION</t>
  </si>
  <si>
    <t>Acute promyelocytic leukemia (APL) cells exhibit disrupted regulation of cell death and differentiation, and therefore the fate of these leukemic cells is unclear. Here, we provide the first evidence that a small percentage of APL cells undergo a novel cell death pathway by releasing extracellular DNA traps (ETs) in untreated patients. Both APL and NB4 cells stimulated with APL serum had nuclear budding of vesicles filled with chromatin that leaked to the extracellular space when nuclear and cell membranes ruptured. Using immunofluorescence, we found that NB4 cells undergoing ETosis extruded lattice-like structures with a DNA-histone backbone. During all-trans retinoic acid (ATRA)-induced cell differentiation, a subset of NB4 cells underwent ETosis at days 1 and 3 of treatment. The levels of tumor necrosis factor-alpha (TNF-alpha) and interleukin-6 (IL-6) were significantly elevated at 3 days, and combined treatment with TNF-alpha and IL-6 stimulated NB4 cells to release ETs. Furthermore, inhibition of autophagy by pharmacological inhibitors or by small interfering RNA against Atg7 attenuated LC3 autophagy formation and significantly decreased ET generation. Our results identify a previously unrecognized mechanism for death in promyelocytes and suggest that ATRA may accelerate ET release through increased cytokines and autophagosome formation. Targeting this cellular death pathway in addition to conventional chemotherapy may provide new therapeutic modalities for APL.</t>
  </si>
  <si>
    <t>[Ma, R.; Li, T.; Cao, M.; Si, Y.; Wu, X.; Zhao, L.; Yao, Z.; Zhang, Y.; Deng, R.; Zhou, J.; Shi, J.] Harbin Med Univ, Hosp 1, Dept Hematol, Harbin 150001, Peoples R China; [Ma, R.; Li, T.; Cao, M.; Si, Y.; Fang, S.; Yu, B.; Yang, S.] Minist Educ, Key Lab Myocardial Ischemia, Harbin, Heilongjiang Pr, Peoples R China; [Novakovic, V. A.] VA Boston Healthcare Syst, Brigham &amp; Womens Hosp, Dept Res, Boston, MA USA; [Novakovic, V. A.; Shi, J.] Harvard Med Sch, Boston, MA USA; [Bi, Y.] Harbin Med Univ, Hosp 1, Dept Cardiol, Harbin, Peoples R China; [Kou, J.] Harbin Med Univ, Hosp 2, Dept Cardiol, Harbin, Peoples R China; [Wang, J.] Harbin Med Univ, Hosp 2, Dept Hematol, Harbin, Peoples R China; [Shi, J.] VA Boston Healthcare Syst, Brigham &amp; Womens Hosp, Dept Surg, Boston, MA USA</t>
  </si>
  <si>
    <t>Harbin Medical University; Harvard University; Brigham &amp; Women's Hospital; US Department of Veterans Affairs; Veterans Health Administration (VHA); VA Boston Healthcare System; Harvard University; Harvard Medical School; Harbin Medical University; Harbin Medical University; Harbin Medical University; Harvard University; Brigham &amp; Women's Hospital; US Department of Veterans Affairs; Veterans Health Administration (VHA); VA Boston Healthcare System</t>
  </si>
  <si>
    <t>Zhou, J; Shi, J (corresponding author), Harbin Med Univ, Hosp 1, Dept Hematol, Harbin 150001, Peoples R China.;Yang, S; Wang, J (corresponding author), Harbin Med Univ, Hosp 2, Dept Med, Harbin 150086, Peoples R China.</t>
  </si>
  <si>
    <t>shufen_yang@126.com; wang_jing_huaxy@163.com; jin_zhouxy@163.com; shi73661@gmail.com</t>
  </si>
  <si>
    <t>Shi, Jialan/0000-0001-5642-5436; Wu, Xiaoming/0000-0002-4271-8534</t>
  </si>
  <si>
    <t>e2283</t>
  </si>
  <si>
    <t>10.1038/cddis.2016.186</t>
  </si>
  <si>
    <t>WOS:000391813800021</t>
  </si>
  <si>
    <t>Rostami, N; Shields, RC; Yassin, SA; Hawkins, AR; Bowen, L; Luo, TL; Rickard, AH; Holliday, R; Preshaw, PM; Jakubovics, NS</t>
  </si>
  <si>
    <t>Rostami, N.; Shields, R. C.; Yassin, S. A.; Hawkins, A. R.; Bowen, L.; Luo, T. L.; Rickard, A. H.; Holliday, R.; Preshaw, P. M.; Jakubovics, N. S.</t>
  </si>
  <si>
    <t>A Critical Role for Extracellular DNA in Dental Plaque Formation</t>
  </si>
  <si>
    <t>JOURNAL OF DENTAL RESEARCH</t>
  </si>
  <si>
    <t>biofilms; dental implants; microbial ecology; microbiology; microscopy; plaque biofilms</t>
  </si>
  <si>
    <t>BIOFILM FORMATION; MICROBIAL BIOFILMS; MEMBRANE-VESICLES; MATRIX; EXOPOLYSACCHARIDE; MECHANISM; RELEASE; SYSTEM</t>
  </si>
  <si>
    <t>Extracellular DNA (eDNA) has been identified in the matrix of many different monospecies biofilms in vitro, including some of those produced by oral bacteria. In many cases, eDNA stabilizes the structure of monospecies biofilms. Here, the authors aimed to determine whether eDNA is an important component of natural, mixed-species oral biofilms, such as plaque on natural teeth or dental implants. To visualize eDNA in oral biofilms, approaches for fluorescently stained eDNA with either anti-DNA antibodies or an ultrasensitive cell-impermeant dye, YOYO-1, were first developed using Enterococcus faecalis, an organism that has previously been shown to produce extensive eDNA structures within biofilms. Oral biofilms were modelled as in vitro microcosms on glass coverslips inoculated with the natural microbial population of human saliva and cultured statically in artificial saliva medium. Using antibodies and YOYO-1, eDNA was found to be distributed throughout microcosm biofilms, and was particularly abundant in the immediate vicinity of cells. Similar arrangements of eDNA were detected in biofilms on crowns and overdenture abutments of dental implants that had been recovered from patients during the restorative phase of treatment, and in subgingival dental plaque of periodontitis patients, indicating that eDNA is a common component of natural oral biofilms. In model oral biofilms, treatment with a DNA-degrading enzyme, NucB from Bacillus licheniformis, strongly inhibited the accumulation of biofilms. The bacterial species diversity was significantly reduced by treatment with NucB and particularly strong reductions were observed in the abundance of anaerobic, proteolytic bacteria such as Peptostreptococcus, Porphyromonas and Prevotella. Preformed biofilms were not significantly reduced by NucB treatment, indicating that eDNA is more important or more exposed during the early stages of biofilm formation. Overall, these data demonstrate that dental plaque eDNA is potentially an important target for oral biofilm control.</t>
  </si>
  <si>
    <t>[Rostami, N.; Shields, R. C.; Yassin, S. A.; Holliday, R.; Preshaw, P. M.; Jakubovics, N. S.] Newcastle Univ, Sch Dent Sci, Newcastle Upon Tyne, Tyne &amp; Wear, England; [Hawkins, A. R.] Newcastle Univ, Inst Cell &amp; Mol Biosci, Newcastle Upon Tyne, Tyne &amp; Wear, England; [Bowen, L.] Univ Durham, Dept Phys, Durham, England; [Luo, T. L.; Rickard, A. H.] Univ Michigan, Dept Epidemiol, Ann Arbor, MI 48109 USA</t>
  </si>
  <si>
    <t>Newcastle University - UK; Newcastle University - UK; Durham University; University of Michigan System; University of Michigan</t>
  </si>
  <si>
    <t>Jakubovics, NS (corresponding author), Newcastle Univ, Sch Dent Sci, Ctr Oral Hlth Res, Framlington Pl, Newcastle Upon Tyne NE2 4BW, Tyne &amp; Wear, England.</t>
  </si>
  <si>
    <t>nick.jakubovics@newcastle.ac.uk</t>
  </si>
  <si>
    <t>Bowen, Leon/B-4586-2018; Jakubovics, Nicholas S/B-1938-2010; Holliday, Richard/T-7342-2019; Holliday, Richard S/R-5283-2018; Shields, Robert C./I-7890-2019</t>
  </si>
  <si>
    <t>Jakubovics, Nicholas S/0000-0001-6667-0515; Holliday, Richard/0000-0002-9072-8083; Holliday, Richard S/0000-0002-9072-8083; Shields, Robert C./0000-0002-8823-9504</t>
  </si>
  <si>
    <t>0022-0345</t>
  </si>
  <si>
    <t>1544-0591</t>
  </si>
  <si>
    <t>10.1177/0022034516675849</t>
  </si>
  <si>
    <t>Dentistry, Oral Surgery &amp; Medicine</t>
  </si>
  <si>
    <t>WOS:000393965500012</t>
  </si>
  <si>
    <t>Senpuku, H; Nakamura, T; Iwabuchi, Y; Hirayama, S; Nakao, R; Ohnishi, M</t>
  </si>
  <si>
    <t>Senpuku, Hidenobu; Nakamura, Tomoyo; Iwabuchi, Yusuke; Hirayama, Satoru; Nakao, Ryoma; Ohnishi, Makoto</t>
  </si>
  <si>
    <t>Effects of Complex DNA and MVs with GTF Extracted from Streptococcus mutans on the Oral Biofilm</t>
  </si>
  <si>
    <t>biofilm; eDNA; Streptococcus mutans; GTF; membrane vesicles</t>
  </si>
  <si>
    <t>MEMBRANE-DERIVED VESICLES; EXTRACELLULAR DNA; BACTERIAL DIVERSITY; INSOLUBLE GLUCAN; COMMUNICATION; INTEGRITY; BIOLOGY; SYSTEM</t>
  </si>
  <si>
    <t>Streptococcus mutans is one of the principal pathogens for the development of dental caries. Oral biofilms formed by S. mutans are constructed of insoluble glucan formation induced by the principal enzymes, GTF-I and GTF-SI, in sucrose-containing conditions. However, as another means of biofilm formation, extracellular DNA (eDNA) and membrane vesicles (MVs) are also contributors. To explore the roles of eDNA and MVs for biofilm formation, short and whole size pure DNAs, two types of sub-purified DNAs and MVs were extracted from S. mutans by beads destruction, treatment of proteinase K, and ultracentrifugation of culture supernatant, and applied into the biofilm formation assay using the S. mutans UA159 gtfBC mutant, which lost GTF-I and GTF-SI, on a human saliva-coated 96 well microtiter plate in sucrose-containing conditions. Sub-purified DNAs after cell lysis by beads destruction for total 90 and 180 s showed a complex form of short-size DNA with various proteins and MVs associated with GTF-I and GTF-SI, and induced significantly higher biofilm formation of the S. mutans UA159. gtfBC mutant than no sample (p &lt; 0.05). Short-size pure DNA without proteins induced biofilm formation but whole-size pure DNA did not. Moreover, the complex form of MV associated with GTFs and short-size DNA showed significantly higher biofilm formation of initial colonizers on the human tooth surface such as Streptococcus mitis than no sample (p &lt; 0.05). The short-size DNAs associated with MVs and GTFs are important contributors to the biofilm formation and may be one of additional targets for the prevention of oral biofilm-associated diseases.</t>
  </si>
  <si>
    <t>[Senpuku, Hidenobu; Nakamura, Tomoyo; Iwabuchi, Yusuke; Hirayama, Satoru; Nakao, Ryoma; Ohnishi, Makoto] Natl Inst Infect Dis, Dept Bacteriol 1, Shinjuku Ku, Tokyo 1628640, Japan</t>
  </si>
  <si>
    <t>National Institute of Infectious Diseases (NIID)</t>
  </si>
  <si>
    <t>Senpuku, H (corresponding author), Natl Inst Infect Dis, Dept Bacteriol 1, Shinjuku Ku, Tokyo 1628640, Japan.</t>
  </si>
  <si>
    <t>hsenpuku@nih.go.jp</t>
  </si>
  <si>
    <t>SENPUKU, HIDENOBU/ABC-6160-2021</t>
  </si>
  <si>
    <t>Hirayama, Satoru/0000-0003-0965-8733</t>
  </si>
  <si>
    <t>10.3390/molecules24173131</t>
  </si>
  <si>
    <t>WOS:000488613700111</t>
  </si>
  <si>
    <t>Fleischhacker, M</t>
  </si>
  <si>
    <t>Swaminathan, R; Butt, A; Gahan, P</t>
  </si>
  <si>
    <t>Fleischhacker, Michael</t>
  </si>
  <si>
    <t>Biology of circulating mRNA - Still more questions than answers?</t>
  </si>
  <si>
    <t>CIRCULATING NUCLEIC ACIDS IN PLASMA AND SERUM IV</t>
  </si>
  <si>
    <t>Annals of the New York Academy of Sciences</t>
  </si>
  <si>
    <t>4th International Symposium on Circulating Nucleic Acids in Plasma/Serum</t>
  </si>
  <si>
    <t>SEP 04-06, 2005</t>
  </si>
  <si>
    <t>Kings Coll, London, ENGLAND</t>
  </si>
  <si>
    <t>Kings Coll</t>
  </si>
  <si>
    <t>extracellular RNA; review; plasma; free-circulating RNA; cancer</t>
  </si>
  <si>
    <t>BREAST-CANCER PATIENTS; EXOGENOUS RIBONUCLEIC ACID; ASCITES TUMOR CELLS; LUNG-CANCER; NUCLEIC-ACIDS; MALIGNANT-MELANOMA; HEPATOCELLULAR-CARCINOMA; SENSITIVE DETECTION; MEMBRANE-VESICLES; APOPTOTIC BODIES</t>
  </si>
  <si>
    <t>A few years after the first description of free-circulating DNA in plasma and serum, the detection of tumor-associated overexpressed mRNA in plasma was also reported. This observation has been confirmed and it seems to be clear that the presence of free-circulating RNA is a ubiquitous phenomenon. In this short review I will discuss some basic aspects of the release mechanisms for the RNA, its biological meaning, and clinical value.</t>
  </si>
  <si>
    <t>Univ Med Berlin, Med Klin Onkol Hamatol Molekularbiol Labor, D-10117 Berlin, Germany</t>
  </si>
  <si>
    <t>Free University of Berlin; Humboldt University of Berlin; Charite Universitatsmedizin Berlin</t>
  </si>
  <si>
    <t>Fleischhacker, M (corresponding author), Univ Med Berlin, Med Klin Onkol Hamatol Molekularbiol Labor, Schumannstr 20-21, D-10117 Berlin, Germany.</t>
  </si>
  <si>
    <t>michael.fleischhacker@charite.de</t>
  </si>
  <si>
    <t>0077-8923</t>
  </si>
  <si>
    <t>1-57331-627-X</t>
  </si>
  <si>
    <t>10.1196/annals.1368.005</t>
  </si>
  <si>
    <t>Biochemistry &amp; Molecular Biology; Medical Laboratory Technology; Multidisciplinary Sciences</t>
  </si>
  <si>
    <t>Conference Proceedings Citation Index - Science (CPCI-S); Science Citation Index Expanded (SCI-EXPANDED)</t>
  </si>
  <si>
    <t>Biochemistry &amp; Molecular Biology; Medical Laboratory Technology; Science &amp; Technology - Other Topics</t>
  </si>
  <si>
    <t>WOS:000241725400005</t>
  </si>
  <si>
    <t>Wang, YL; Li, QY; Shi, HM; Tang, KQ; Qiao, L; Yu, GP; Ding, CF; Yu, SN</t>
  </si>
  <si>
    <t>Wang, Yanlin; Li, Qiaoyu; Shi, Haimei; Tang, Keqi; Qiao, Liang; Yu, Guopeng; Ding, Chuanfan; Yu, Shaoning</t>
  </si>
  <si>
    <t>Microfluidic Raman biochip detection of exosomes: a promising tool for prostate cancer diagnosis</t>
  </si>
  <si>
    <t>EXTRACELLULAR VESICLES; WHOLE-BLOOD; SERS</t>
  </si>
  <si>
    <t>Tumor-derived exosomes, which contain RNA, DNA, and proteins, are a potentially rich non-invasive source of biomarkers. However, no efficient isolation or detection methods are yet available. Here, we developed a microfluidic Raman biochip designed to isolate and analyze exosomes in situ. Anti-CD63 magnetic nanoparticles were used to enrich exosomes through mixing channels of a staggered triangular pillar array. EpCAM-functionalized Raman-active polymeric nanomaterials (Raman beads) allow rapid analysis of exosome samples within 1 h, with a quantitative signal at 2230 cm(-1). The limit of detection of this biochip approaches 1.6 x 10(2) particles per mL with 20 mu L samples. The newly developed biochip assay was successfully applied in the determination of exosomes from clinical serum samples. Thus, this novel device may have potential as a clinical exosome analysis tool for prostate cancer.</t>
  </si>
  <si>
    <t>[Wang, Yanlin; Li, Qiaoyu; Qiao, Liang; Yu, Shaoning] Fudan Univ, Dept Chem, Shanghai 200433, Peoples R China; [Shi, Haimei; Tang, Keqi; Ding, Chuanfan; Yu, Shaoning] Ningbo Univ, Inst Mass Spectrometry, Sch Mat Sci &amp; Chem Engn, Zhejiang Prov Key Lab Adv Mass Spectrometry &amp; Mol, Ningbo 315211, Zhejiang, Peoples R China; [Yu, Guopeng] Shanghai Jiao Tong Univ, Shanghai Peoples Hosp 9, Dept Urol, Sch Med, Shanghai 200011, Peoples R China</t>
  </si>
  <si>
    <t>Fudan University; Ningbo University; Shanghai Jiao Tong University</t>
  </si>
  <si>
    <t>Yu, SN (corresponding author), Fudan Univ, Dept Chem, Shanghai 200433, Peoples R China.;Ding, CF; Yu, SN (corresponding author), Ningbo Univ, Inst Mass Spectrometry, Sch Mat Sci &amp; Chem Engn, Zhejiang Prov Key Lab Adv Mass Spectrometry &amp; Mol, Ningbo 315211, Zhejiang, Peoples R China.</t>
  </si>
  <si>
    <t>dingchuanfan@nbu.edu.cn; yushaoning@nbu.edu.cn</t>
  </si>
  <si>
    <t>Qiao, Liang/I-3134-2012</t>
  </si>
  <si>
    <t>Qiao, Liang/0000-0002-6233-8459</t>
  </si>
  <si>
    <t>DEC 21</t>
  </si>
  <si>
    <t>10.1039/d0lc00677g</t>
  </si>
  <si>
    <t>WOS:000599063600012</t>
  </si>
  <si>
    <t>Cao, Y; Wang, Y; Yu, XM; Jiang, XH; Li, G; Zhao, J</t>
  </si>
  <si>
    <t>Cao, Ya; Wang, Ying; Yu, Xiaomeng; Jiang, Xihui; Li, Gang; Zhao, Jing</t>
  </si>
  <si>
    <t>Identification of programmed death ligand-1 positive exosomes in breast cancer based on DNA amplification-responsive metal-organic frameworks</t>
  </si>
  <si>
    <t>Metal-organic framework; Hyperbranched rolling circle amplification; Breast cancer; Programmed death ligand-1; Electrochemical technique</t>
  </si>
  <si>
    <t>METASTASIS</t>
  </si>
  <si>
    <t>Cancer-derived exosomes have recently emerged as potent candidates for diagnosis and prognosis of breast cancer. As an example, programmed death ligand-1 positive (PD-L1(+)) exosomes are found to be correlated with the progression and immunotherapy response of breast cancer, and therefore show great potential in liquid biopsy. Herein, we propose an electrochemical biosensing method for accurate identification of PD-L1(+) exosomes by using DNA amplification-responsive metal-organic frameworks, PVP@HRP@ZIF-8. Specially, PD-L1(+) exosomes are captured by anti-CD63 functionalized magnetic beads and bound with anti-PD-Ll -linked capture probe. Then, in situ hyperbranched rolling circle amplification, a typical DNA amplification reaction, is conducted using the surface-attached capture probes as primers, which lows environmental pH. As a result, disassembly of PVP@HRP@ZIF-8 takes place, leading to the release of enzymes, which can arouse amplified electrochemical responses for the identification of target exosomes. Experimental results reveal that the biosensing method displays a linear range for PD-L1(+ )exosomes identification from 1 x 10(3) to 1 x 10(10) particles/mL and the detection limit reaches 334 particles/mL. What is more, by using the method, elevated level of circulating PD-L1(+) exosomes is found in the undiluted serum samples from patients with breast cancer, particularly for metastatic breast cancer, revealing a positive correlation of the PD-L1(+) exosome level with the tumor staging and disease progression of breast cancer. Therefore, the biosensing method may be valuable for not only exosome identification but also providing reference information for diagnosis and real-time monitoring of breast cancer in the future.</t>
  </si>
  <si>
    <t>[Cao, Ya; Wang, Ying; Yu, Xiaomeng; Jiang, Xihui; Zhao, Jing] Shanghai Univ, Ctr Mol Recognit &amp; Biosensing, Sch Life Sci, Shanghai 200444, Peoples R China; [Wang, Ying; Li, Gang] Fudan Univ, Minhang Branch, Shanghai Canc Ctr, Shanghai 200240, Peoples R China; [Jiang, Xihui] Suzhou Chien Shiung Inst Technol, Dept Med Sci &amp; Technol, Taicang 215411, Peoples R China</t>
  </si>
  <si>
    <t>Shanghai University; Fudan University</t>
  </si>
  <si>
    <t>Zhao, J (corresponding author), Shanghai Univ, Ctr Mol Recognit &amp; Biosensing, Sch Life Sci, Shanghai 200444, Peoples R China.;Li, G (corresponding author), Fudan Univ, Minhang Branch, Shanghai Canc Ctr, Shanghai 200240, Peoples R China.</t>
  </si>
  <si>
    <t>13391071510@163.com; jingzhao@t.shu.edu.cn</t>
  </si>
  <si>
    <t>Cao, Ya/0000-0002-1099-7823</t>
  </si>
  <si>
    <t>10.1016/j.bios.2020.112452</t>
  </si>
  <si>
    <t>WOS:000566449100006</t>
  </si>
  <si>
    <t>Sun, N; Lee, YT; Zhang, RY; Kao, RH; Teng, PC; Yang, YY; Yang, P; Wang, JJ; Smalley, M; Chen, PJ; Kim, M; Chou, SJ; Bao, LR; Wang, J; Zhang, XY; Qi, DP; Palomique, J; Nissen, N; Han, SHB; Sadeghi, S; Finn, RS; Saab, S; Busuttil, RW; Markovic, D; Elashoff, D; Yu, HH; Li, HY; Heaney, AP; Posadas, E; You, S; Yang, JD; Pei, RJ; Agopian, VG; Tseng, HR; Zhu, YZ</t>
  </si>
  <si>
    <t>Sun, Na; Lee, Yi-Te; Zhang, Ryan Y.; Kao, Rueihung; Teng, Pai-Chi; Yang, Yingying; Yang, Peng; Wang, Jasmine J.; Smalley, Matthew; Chen, Pin-Jung; Kim, Minhyung; Chou, Shih-Jie; Bao, Lirong; Wang, Jing; Zhang, Xinyue; Qi, Dongping; Palomique, Juvelyn; Nissen, Nicolas; Han, Steven-Huy B.; Sadeghi, Saeed; Finn, Richard S.; Saab, Sammy; Busuttil, Ronald W.; Markovic, Daniela; Elashoff, David; Yu, Hsiao-hua; Li, Huiying; Heaney, Anthony P.; Posadas, Edwin; You, Sungyong; Yang, Ju Dong; Pei, Renjun; Agopian, Vatche G.; Tseng, Hsian-Rong; Zhu, Yazhen</t>
  </si>
  <si>
    <t>Purification of HCC-specific extracellular vesicles on nanosubstrates for early HCC detection by digital scoring</t>
  </si>
  <si>
    <t>CIRCULATING TUMOR-CELLS; HEPATOCELLULAR-CARCINOMA; EFFICIENT CAPTURE; EARLY-DIAGNOSIS; CANCER; DNA; BIOMARKERS; SEPARATION; PROGNOSIS; EXOSOMES</t>
  </si>
  <si>
    <t>We report a covalent chemistry-based hepatocellular carcinoma (HCC)-specific extracellular vesicle (EV) purification system for early detection of HCC by performing digital scoring on the purified EVs. Earlier detection of HCC creates more opportunities for curative therapeutic interventions. EVs are present in circulation at relatively early stages of disease, providing potential opportunities for HCC early detection. We develop an HCC EV purification system (i.e., EV Click Chips) by synergistically integrating covalent chemistry-mediated EV capture/release, multimarker antibody cocktails, nanostructured substrates, and microfluidic chaotic mixers. We then explore the translational potential of EV Click Chips using 158 plasma samples of HCC patients and control cohorts. The purified HCC EVs are subjected to reversetranscription droplet digital PCR for quantification of 10 HCC-specific mRNA markers and computation of digital scoring. The HCC EV-derived molecular signatures exhibit great potential for noninvasive early detection of HCC from at-risk cirrhotic patients with an area under receiver operator characteristic curve of 0.93 (95% CI, 0.86 to 1.00; sensitivity = 94.4%, specificity = 88.5%).</t>
  </si>
  <si>
    <t>[Sun, Na; Lee, Yi-Te; Zhang, Ryan Y.; Kao, Rueihung; Yang, Peng; Smalley, Matthew; Chen, Pin-Jung; Chou, Shih-Jie; Bao, Lirong; Wang, Jing; Zhang, Xinyue; Qi, Dongping; Li, Huiying; Tseng, Hsian-Rong; Zhu, Yazhen] Univ Calif Los Angeles, Calif NanoSyst Inst, Crump Inst Mol Imaging, Dept Mol &amp; Med Pharmacol, Los Angeles, CA 90095 USA; [Sun, Na; Pei, Renjun] Chinese Acad Sci, Key Lab Nanobio Interface, Suzhou Inst Nanotech &amp; Nanobion, Univ Chinese Acad Sci, Suzhou 215123, Peoples R China; [Teng, Pai-Chi; Wang, Jasmine J.; Posadas, Edwin; You, Sungyong] Cedars Sinai Med Ctr, Samuel Oschin Comprehens Canc Inst, Los Angeles, CA 90048 USA; [Yang, Yingying; Han, Steven-Huy B.; Sadeghi, Saeed; Finn, Richard S.; Saab, Sammy; Heaney, Anthony P.] Univ Calif Los Angeles, David Geffen Sch Med, Dept Med, Los Angeles, CA 90095 USA; [Kim, Minhyung; You, Sungyong] Cedars Sinai Med Ctr, Dept Surg, Div Canc Biol &amp; Therapeut, Los Angeles, CA 90048 USA; [Palomique, Juvelyn; Nissen, Nicolas; Yang, Ju Dong] Cedars Sinai Med Ctr, Comprehens Transplant Ctr, Los Angeles, CA 90048 USA; [Sadeghi, Saeed; Finn, Richard S.; Busuttil, Ronald W.; Agopian, Vatche G.] Univ Calif Los Angeles, David Geffen Sch Med, Dept Surg, Los Angeles, CA 90095 USA; [Busuttil, Ronald W.; Agopian, Vatche G.; Tseng, Hsian-Rong] Univ Calif Los Angeles, Jonsson Comprehens Canc Ctr, Los Angeles, CA 90095 USA; [Markovic, Daniela; Elashoff, David] Univ Calif Los Angeles, David Geffen Sch Med, Dept Med, Stat Core, Los Angeles, CA 90095 USA; [Yu, Hsiao-hua] Acad Sinica, Inst Chem, Smart Organ Mat Lab, Taipei 11529, Taiwan; [Yang, Ju Dong] Cedars Sinai Med Ctr, Div Digest &amp; Liver Dis, Los Angeles, CA 90048 USA</t>
  </si>
  <si>
    <t>University of California System; University of California Los Angeles; Chinese Academy of Sciences; Suzhou Institute of Nano-Tech &amp; Nano-Bionics, CAS; University of Chinese Academy of Sciences, CAS; Cedars Sinai Medical Center; University of California System; University of California Los Angeles; University of California Los Angeles Medical Center; David Geffen School of Medicine at UCLA; Cedars Sinai Medical Center; Cedars Sinai Medical Center; University of California System; University of California Los Angeles; University of California Los Angeles Medical Center; David Geffen School of Medicine at UCLA; UCLA Jonsson Comprehensive Cancer Center; University of California System; University of California Los Angeles; University of California System; University of California Los Angeles; University of California Los Angeles Medical Center; David Geffen School of Medicine at UCLA; Academia Sinica - Taiwan; Cedars Sinai Medical Center</t>
  </si>
  <si>
    <t>Tseng, HR; Zhu, YZ (corresponding author), Univ Calif Los Angeles, Calif NanoSyst Inst, Crump Inst Mol Imaging, Dept Mol &amp; Med Pharmacol, Los Angeles, CA 90095 USA.;Pei, RJ (corresponding author), Chinese Acad Sci, Key Lab Nanobio Interface, Suzhou Inst Nanotech &amp; Nanobion, Univ Chinese Acad Sci, Suzhou 215123, Peoples R China.;Agopian, VG (corresponding author), Univ Calif Los Angeles, David Geffen Sch Med, Dept Surg, Los Angeles, CA 90095 USA.;Agopian, VG; Tseng, HR (corresponding author), Univ Calif Los Angeles, Jonsson Comprehens Canc Ctr, Los Angeles, CA 90095 USA.</t>
  </si>
  <si>
    <t>rjpei2011@sinaco.ac.cn; vagopian@mednet.ucla.edu; hrtseng@mednet.ucla.edu; yazhenzhu@metnet.ucla.edu</t>
  </si>
  <si>
    <t>Chen, Pin-Jung/AAV-3258-2020; Yu, Hsiao-Hua/B-5565-2013; You, Sungyong/AAJ-7372-2020</t>
  </si>
  <si>
    <t>Chen, Pin-Jung/0000-0002-5923-5299; Yu, Hsiao-Hua/0000-0002-3603-6932; You, Sungyong/0000-0003-3513-1783; Zhang, Ryan/0000-0002-3122-4053; Teng, Pai-Chi/0000-0002-1872-466X; LEE, YI-TE/0000-0002-8177-0407; Smalley, Matthew/0000-0002-0509-6502; Tseng, Hsian-Rong/0000-0003-0942-5905</t>
  </si>
  <si>
    <t>SEP 7</t>
  </si>
  <si>
    <t>10.1038/s41467-020-18311-0</t>
  </si>
  <si>
    <t>WOS:000573248700001</t>
  </si>
  <si>
    <t>Rikkert, LG; van der Pol, E; van Leeuwen, TG; Nieuwland, R; Coumans, FAW</t>
  </si>
  <si>
    <t>Rikkert, Linda G.; van der Pol, Edwin; van Leeuwen, Ton G.; Nieuwland, Rienk; Coumans, Frank A. W.</t>
  </si>
  <si>
    <t>Centrifugation affects the purity of liquid biopsy-based tumor biomarkers</t>
  </si>
  <si>
    <t>CYTOMETRY PART A</t>
  </si>
  <si>
    <t>biomarker; centrifugation; circulating cell-free DNA; circulating tumor cells; exosomes; extracellular vesicles; flow cytometry; microparticles; miRNA; tumor-educated platelets</t>
  </si>
  <si>
    <t>BUOYANT DENSITY; CELLS; BLOOD; SURVIVAL; CANCER; VOLUME; SUBPOPULATIONS; EXOSOMES; PREDICT; PLASMA</t>
  </si>
  <si>
    <t>Biomarkers in the blood of cancer patients include circulating tumor cells (CTCs), tumor-educated platelets (TEPs), tumor-derived extracellular vesicles (tdEVs), EV-associated miRNA (EV-miRNA), and circulating cell-free DNA (ccfDNA). Because the size and density of biomarkers differ, blood is centrifuged to isolate or concentrate the biomarker of interest. Here, we applied a model to estimate the effect of centrifugation on the purity of a biomarker according to published protocols. The model is based on the Stokes equation and was validated using polystyrene beads in buffer and plasma. Next, the model was applied to predict the biomarker behavior during centrifugation. The result was expressed as the recovery of CTCs, TEPs, tdEVs in three size ranges (1-8, 0.2-1, and 0.05-0.2 mu m), EV-miRNA, and ccfDNA. Bead recovery was predicted with errors &lt;18%. Most notable cofounders are the 22% contamination of 1-8 mu m tdEVs for TEPs and the 8-82% contamination of &lt;1 mu m tdEVs for ccfDNA. A Stokes model can predict biomarker behavior in blood. None of the evaluated protocols produces a pure biomarker. Thus, care should be taken in the interpretation of obtained results, as, for example, results from TEPs may originate from co-isolated large tdEVs and ccfDNA may originate from DNA enclosed in &lt;1 mu m tdEVs. (c) 2018 The Authors. Cytometry Part A published by Wiley Periodicals, Inc. on behalf of International Society for Advancement of Cytometry.</t>
  </si>
  <si>
    <t>[Rikkert, Linda G.] Univ Twente, Med Cell BioPhys, Enschede, Netherlands; [Rikkert, Linda G.; Nieuwland, Rienk; Coumans, Frank A. W.] Univ Amsterdam, Lab Expt Clin Chem, Amsterdam UMC, Meibergdreef 9, NL-1105 AZ Amsterdam, Netherlands; [Rikkert, Linda G.; van der Pol, Edwin; van Leeuwen, Ton G.; Nieuwland, Rienk; Coumans, Frank A. W.] Univ Amsterdam, Vesicle Observat Ctr, Amsterdam UMC, Amsterdam, Netherlands; [van der Pol, Edwin; van Leeuwen, Ton G.] Univ Amsterdam, Amsterdam UMC, Biomed Engn &amp; Phys, Amsterdam, Netherlands</t>
  </si>
  <si>
    <t>University of Twente; University of Amsterdam; University of Amsterdam; University of Amsterdam</t>
  </si>
  <si>
    <t>Rikkert, LG (corresponding author), Univ Amsterdam, Lab Expt Clin Chem, Amsterdam UMC, Meibergdreef 9, NL-1105 AZ Amsterdam, Netherlands.</t>
  </si>
  <si>
    <t>l.g.rikkert@amc.uva.nl</t>
  </si>
  <si>
    <t>van Leeuwen, Ton G/C-9135-2010; van der Pol, Edwin/H-2493-2013; Nieuwland, Rienk/AAC-9591-2019</t>
  </si>
  <si>
    <t xml:space="preserve">van Leeuwen, Ton G/0000-0002-5642-1133; van der Pol, Edwin/0000-0002-9497-8426; </t>
  </si>
  <si>
    <t>1552-4922</t>
  </si>
  <si>
    <t>1552-4930</t>
  </si>
  <si>
    <t>93A</t>
  </si>
  <si>
    <t>10.1002/cyto.a.23641</t>
  </si>
  <si>
    <t>Biochemical Research Methods; Cell Biology</t>
  </si>
  <si>
    <t>WOS:000453599300006</t>
  </si>
  <si>
    <t>Yang, Q; Wei, B; Peng, CG; Wang, L; Li, C</t>
  </si>
  <si>
    <t>Yang, Qi; Wei, Bo; Peng, Chuangang; Wang, Le; Li, Chang</t>
  </si>
  <si>
    <t>Identification of serum exosomal miR-98-5p, miR-183-5p, miR-323-3p and miR-19b-3p as potential biomarkers for glioblastoma patients and investigation of their mechanisms</t>
  </si>
  <si>
    <t>CURRENT RESEARCH IN TRANSLATIONAL MEDICINE</t>
  </si>
  <si>
    <t>Glioblastoma; Extracellular vesicles; Exosomes; miRNAs; Biomarker</t>
  </si>
  <si>
    <t>CELL-PROLIFERATION; GENE-EXPRESSION; CANCER; SURVIVAL; GLIOMA; MICRORNA-210; RESISTANCE; MIGRATION; DIAGNOSIS; CASPASE-3</t>
  </si>
  <si>
    <t>Background: Exosomal miRNAs have attracted increasing interest as potential biomarkers and treatment targets for cancers, however, glioblastoma (GBM)-related exosomal miRNAs remain rarely reported. The study aimed to screen crucial serum exosomal miRNAs in GBM patients and explored their possible mechanisms.Methods: Serum exosomal miRNA profile datasets of GBM patients and normal controls were downloaded from the Gene Expression Omnibus database (GSE112462 and GSE122488). The differentially expressed miRNAs (DEMs) were identified using the limma method. Their diagnostic values were assessed by receiver operating characteristic (ROC) curve analysis. The target genes of DEMs were predicted by the miRwalk 2.0 database. Function enrichment analysis was performed using the DAVID database. The expression and prognosis of target genes were validated using TCGA sequencing data and immunohistochemistry.Results: Seven DEMs were shared in two datasets, among which hsa-miR-183-5p and hsa-miR-98-5p as well as has-miR-323-3p or has-miR-19b-3p constituted a diagnostic signature to distinguish GBM from controls, with the area under the ROC curve nearly approximate to 1. MAPK8IP1/FAM175B, OSMR/CASP3, PTPN2 and FBXO32 may be underlying targets for hsa-miR-183-5p, hsa-miR-98-5p, has-miR-323-3p and hasmiR-19b-3p, respectively. Function analysis showed all of these target genes were involved in cell proliferation and related signaling pathways [positive regulation of cell proliferation (OSMR), negative regulation of transcription from RNA polymerase II promoter (PTPN2), cell division (FAM175B), regulation of transcription, DNA-templated (MAPK8IP1), hsa05200:Pathways in cancer (CASP3) and hsa04068:FoxO signaling pathway (FBXO32)]. The protein and (or mRNA) expression levels of OSMR, CASP3, PTPN2 and FBXO32 were validated to be upregulated, while MAPK8IP1 and FAM175B were downregulated in GBM tissues. Also, OSMR, CASP3, PTPN2 and FBXO32 were associated with patients' prognosis. Conclusion: These findings suggest these four exosomal miRNAs may represent potential diagnostic biomarkers and therapeutic targets for GBM.(c) 2021 The Authors. Published by Elsevier Masson SAS. This is an open access article under the CC BY-NC-ND license (http://creativecommons.org/licenses/by-nc-nd/4.0/)</t>
  </si>
  <si>
    <t>[Yang, Qi] Jilin Univ, Dept Gynecol &amp; Obstet, China Japan Union Hosp, Changchun 130033, Jilin, Peoples R China; [Wei, Bo] Jilin Univ, Dept Neurosurg, China Japan Union Hosp, Changchun 130033, Jilin, Peoples R China; [Peng, Chuangang] Jilin Univ, Orthopaed Med Ctr, Hosp 2, Changchun 130041, Jilin, Peoples R China; [Wang, Le] Jilin Univ, First Hosp Jilin Univ, Ophthalmol, Changchun 130021, Jilin, Peoples R China; [Li, Chang] Jilin Univ, Dept VIP Unit, China Japan Union Hosp, Changchun 130033, Jilin, Peoples R China</t>
  </si>
  <si>
    <t>Jilin University; Jilin University; Jilin University; Jilin University; Jilin University</t>
  </si>
  <si>
    <t>Li, C (corresponding author), Jilin Univ, Dept VIP Unit, China Japan Union Hosp, Changchun 130033, Jilin, Peoples R China.</t>
  </si>
  <si>
    <t>changli@jlu.edu.cn</t>
  </si>
  <si>
    <t>2452-3186</t>
  </si>
  <si>
    <t>10.1016/j.retram.2021.103315</t>
  </si>
  <si>
    <t>WOS:000778720100002</t>
  </si>
  <si>
    <t>Ryu, C; Walia, A; Ortiz, V; Perry, C; Woo, S; Reeves, BC; Sun, HX; Winkler, J; Kanyo, JE; Wang, WW; Vukmirovic, M; Ristic, N; Stratton, EA; Meena, SR; Minasyan, M; Kurbanov, D; Liu, XR; Lam, TT; Farina, G; Gomez, JL; Gulati, M; Herzog, EL</t>
  </si>
  <si>
    <t>Ryu, Changwan; Walia, Anjali; Ortiz, Vivian; Perry, Carrighan; Woo, Sam; Reeves, Benjamin C.; Sun, Huanxing; Winkler, Julia; Kanyo, Jean E.; Wang, Weiwei; Vukmirovic, Milica; Ristic, Nicholas; Stratton, Eric A.; Meena, Sita Ram; Minasyan, Maksym; Kurbanov, Daniel; Liu, Xinran; Lam, TuKiet T.; Farina, Giuseppina; Gomez, Jose L.; Gulati, Mridu; Herzog, Erica L.</t>
  </si>
  <si>
    <t>Bioactive Plasma Mitochondrial DNA is Associated With Disease Progression in Scleroderma-Associated Interstitial Lung Disease</t>
  </si>
  <si>
    <t>ARTHRITIS &amp; RHEUMATOLOGY</t>
  </si>
  <si>
    <t>IDIOPATHIC PULMONARY-FIBROSIS; SYSTEMIC-SCLEROSIS; MYOFIBROBLAST DIFFERENTIATION; EXTRACELLULAR VESICLES; ACTIVATION; INNATE; INTERFERON; EXPRESSION; RESPONSES; MIR-155</t>
  </si>
  <si>
    <t>Objective Systemic sclerosis-associated interstitial lung disease (SSc-ILD) is characterized by variable clinical outcomes, activation of innate immune pattern-recognition receptors (PRRs), and accumulation of alpha-smooth muscle actin (alpha-SMA)-expressing myofibroblasts. The aim of this study was to identify an association between these entities and mitochondrial DNA (mtDNA), an endogenous ligand for the intracellular DNA-sensing PRRs Toll-like receptor 9 (TLR-9) and cyclic GMP-AMP synthase/stimulator of interferon genes (cGAS/STING), which has yet to be determined. Methods Human lung fibroblasts (HLFs) from normal donors and SSc-ILD explants were treated with synthetic CpG DNA and assayed for alpha-SMA expression and extracellular mtDNA using quantitative polymerase chain reaction for the human MT-ATP6 gene. Plasma MT-ATP6 concentrations were evaluated in 2 independent SSc-ILD cohorts and demographically matched controls. The ability of SSc-ILD and control plasma to induce TLR-9 and cGAS/STING activation was evaluated with commercially available HEK 293 reporter cells. Plasma concentrations of type I interferons (IFNs), interleukin-6 (IL-6), and oxidized DNA were measured using electrochemiluminescence and enzyme-linked immunosorbent assay-based methods. Extracellular vesicles (EVs) precipitated from plasma were evaluated for MT-ATP6 concentrations and proteomics via liquid chromatography mass spectrometry. Results Normal HLFs and SSc-ILD fibroblasts developed increased alpha-SMA expression and MT-ATP6 release following CpG stimulation. Plasma mtDNA concentrations were increased in the 2 SSc-ILD cohorts, reflective of ventilatory decline, and were positively associated with both TLR-9 and cGAS/STING activation as well as type I IFN and IL-6 expression. Plasma mtDNA was not oxidized and was conveyed by EVs displaying a proteomics profile consistent with a multicellular origin. Conclusion These findings demonstrate a previously unrecognized connection between EV-encapsulated mtDNA, clinical outcomes, and intracellular DNA-sensing PRR activation in SSc-ILD. Further study of these interactions could catalyze novel mechanistic and therapeutic insights into SSc-ILD and related disorders.</t>
  </si>
  <si>
    <t>[Ryu, Changwan; Walia, Anjali; Ortiz, Vivian; Perry, Carrighan; Woo, Sam; Reeves, Benjamin C.; Sun, Huanxing; Winkler, Julia; Kanyo, Jean E.; Wang, Weiwei; Vukmirovic, Milica; Ristic, Nicholas; Meena, Sita Ram; Minasyan, Maksym; Kurbanov, Daniel; Liu, Xinran; Lam, TuKiet T.; Gomez, Jose L.; Gulati, Mridu; Herzog, Erica L.] Yale Univ, Sch Med, 300 Cedar St,TACS 441, New Haven, CT 06520 USA; [Stratton, Eric A.; Farina, Giuseppina] Boston Univ, Sch Med, Boston, MA 02118 USA</t>
  </si>
  <si>
    <t>Yale University; Boston University</t>
  </si>
  <si>
    <t>Herzog, EL (corresponding author), Yale Univ, Sch Med, 300 Cedar St,TACS 441, New Haven, CT 06520 USA.</t>
  </si>
  <si>
    <t>erica.herzog@yale.edu</t>
  </si>
  <si>
    <t>Farina, Giuseppina/B-1800-2019</t>
  </si>
  <si>
    <t>Farina, Giuseppina/0000-0002-3948-6920; ryu, changwan/0000-0001-6211-4327; Ortiz, Vivian/0000-0003-2622-6510; Walia, Anjali/0000-0003-1669-5532; Reeves, Benjamin/0000-0002-5924-6991</t>
  </si>
  <si>
    <t>2326-5191</t>
  </si>
  <si>
    <t>2326-5205</t>
  </si>
  <si>
    <t>10.1002/art.41418</t>
  </si>
  <si>
    <t>Rheumatology</t>
  </si>
  <si>
    <t>WOS:000577775500001</t>
  </si>
  <si>
    <t>Hashkavayi, AB; Cha, BS; Lee, ES; Kim, S; Park, KS</t>
  </si>
  <si>
    <t>Hashkavayi, Ayemeh Bagheri; Cha, Byung Seok; Lee, Eun Sung; Kim, Seokjoon; Park, Ki Soo</t>
  </si>
  <si>
    <t>Advances in Exosome Analysis Methods with an Emphasis on Electrochemistry</t>
  </si>
  <si>
    <t>LABEL-FREE DETECTION; SELECTIVE DETECTION; LUNG-CANCER; APTASENSOR; DNA; APTAMER; QUANTIFICATION; HYBRIDIZATION; TECHNOLOGIES; SPECTROSCOPY</t>
  </si>
  <si>
    <t>Exosomes, small extracellular vesicles, are released by various cell types. They are found in bodily fluids, including blood, urine, serum, and saliva, and play essential roles in intercellular communication. Exosomes contain various biomarkers, such as nucleic acids and proteins, that reflect the status of their parent cells. Since they influence tumorigenesis and metastasis in cancer patients, exosomes are excellent noninvasive potential indicators for early cancer detection. Aptamers with specific binding properties have distinct advantages over antibodies, making them effective versatile bioreceptors for the detection of exosome biomarkers. Here, we review various aptamer-based exosome detection approaches based on signaling methods, such as fluorescence, colorimetry, and chemiluminescence, focusing on electrochemical strategies that are easier, cost-effective, and more sensitive than others. Further, we discuss the clinical applications of electrochemical exosome analysis strategies as well as future research directions in this field.</t>
  </si>
  <si>
    <t>[Hashkavayi, Ayemeh Bagheri; Cha, Byung Seok; Lee, Eun Sung; Kim, Seokjoon; Park, Ki Soo] Konkuk Univ, Coll Engn, Dept Biol Engn, Seoul 05029, South Korea</t>
  </si>
  <si>
    <t>Konkuk University</t>
  </si>
  <si>
    <t>Park, KS (corresponding author), Konkuk Univ, Coll Engn, Dept Biol Engn, Seoul 05029, South Korea.</t>
  </si>
  <si>
    <t>akdong486@konkuk.ac.kr</t>
  </si>
  <si>
    <t>Park, Ki Soo/AAR-2461-2021</t>
  </si>
  <si>
    <t>Park, Ki Soo/0000-0002-0545-0970</t>
  </si>
  <si>
    <t>10.1021/acs.analchem.0c02745</t>
  </si>
  <si>
    <t>WOS:000580426800001</t>
  </si>
  <si>
    <t>Nevalainen, T; Autio, A; Puhka, M; Jylha, M; Hurme, M</t>
  </si>
  <si>
    <t>Nevalainen, Tapio; Autio, Arttu; Puhka, Maija; Jylha, Marja; Hurme, Mikko</t>
  </si>
  <si>
    <t>Composition of the whole transcriptome in the human plasma: Cellular source and modification by aging</t>
  </si>
  <si>
    <t>EXPERIMENTAL GERONTOLOGY</t>
  </si>
  <si>
    <t>RNA sequencing; Plasma transcriptome; Aging</t>
  </si>
  <si>
    <t>EXTRACELLULAR VESICLES; IMMUNE-RESPONSES; MICRORNAS; RNAS; AGE</t>
  </si>
  <si>
    <t>Plasma contains several bioactive molecules (RNA, DNA, proteins, lipids, and metabolites), which are well preserved in extracellular vesicles, that are involved in many types of cell-to-cell interactions, and are capable of modifying biological processes in recipient cells. To obtain information about the source of mRNA molecules present in the plasma, we analyzed the plasma extracellular RNA (exRNA) of healthy individuals using RNA-sequencing and compared it to that of the peripheral blood mononuclear cell (PBMCs) of the same individual. The resultant data indicates that large proportion of the transcripts in plasma are derived from cell types other than PBMCs. To assess aging-associated changes in the plasma exRNA composition, gene ontology enrichment analysis was performed, revealing a functional decline in biological processes as a result of aging. Additionally, plasma RNA levels were analyzed with differential expression analysis, revealing 10 transcripts with significant aging-associated changes. Thus, it seems that the plasma exRNA is not fully derived from the PBMCs. Instead, other cell types supply RNAs to constitute the plasma exRNA compartment. This was true in both the young and elderly individuals that were tested. Furthermore, the RNA content of the plasma showed significant changes due to aging, affecting important biological processes.</t>
  </si>
  <si>
    <t>[Nevalainen, Tapio; Autio, Arttu; Hurme, Mikko] Tampere Univ, Fac Med &amp; Hlth Technol, FI-33014 Tampere, Finland; [Puhka, Maija] Univ Helsinki, Inst Mol Med Finland FIMM, HiPrep &amp; EV Core, Helsinki, Finland; [Jylha, Marja] Tampere Univ, Fac Social Sci, Tampere, Finland; [Nevalainen, Tapio; Autio, Arttu; Jylha, Marja; Hurme, Mikko] Tampere Univ, Gerontol Res Ctr, Tampere, Finland; [Autio, Arttu] Pirkanmaa Hosp Dist, Sci Ctr, Tampere, Finland</t>
  </si>
  <si>
    <t>Tampere University; University of Helsinki; Tampere University; Tampere University; Pirkanmaa Hospital District</t>
  </si>
  <si>
    <t>Nevalainen, T (corresponding author), Tampere Univ, Fac Med &amp; Hlth Technol, FI-33014 Tampere, Finland.</t>
  </si>
  <si>
    <t>tapio.nevalainen@tuni.fi; arttu.autio@tuni.fi; maija.puhka@helsinki.fi; marja.jylha@tuni.fi; mikko.hurme@tuni.fi</t>
  </si>
  <si>
    <t>Puhka, Maija/AEA-7157-2022</t>
  </si>
  <si>
    <t>Nevalainen, Tapio/0000-0003-1141-9854; Autio, Arttu/0000-0003-1601-6528; Hurme, Mikko/0000-0002-8614-1044; Puhka, Maija/0000-0002-6445-1017</t>
  </si>
  <si>
    <t>0531-5565</t>
  </si>
  <si>
    <t>1873-6815</t>
  </si>
  <si>
    <t>10.1016/j.exger.2020.111119</t>
  </si>
  <si>
    <t>Geriatrics &amp; Gerontology</t>
  </si>
  <si>
    <t>WOS:000614809000014</t>
  </si>
  <si>
    <t>Ning, QY; Liu, N; Wu, JZ; Hu, DF; Wei, Q; Zhou, JA; Zou, J; Zang, N; Li, GJ</t>
  </si>
  <si>
    <t>Ning, Qiu-Yue; Liu, Na; Wu, Ji-Zhou; Hu, Die-Fei; Wei, Qi; Zhou, Jin-Ai; Zou, Jun; Zang, Ning; Li, Guo-Jian</t>
  </si>
  <si>
    <t>Serum Exosomal microRNA Profiling in AIDS Complicated with Talaromyces marneffei Infection</t>
  </si>
  <si>
    <t>INFECTION AND DRUG RESISTANCE</t>
  </si>
  <si>
    <t>exosomes; AIDS; Talaromyces marneffei; microRNA; biomarkers</t>
  </si>
  <si>
    <t>PLASMA; MIRNAS; RNAS</t>
  </si>
  <si>
    <t>Introduction: In order to find the early diagnostic markers of AIDS combined with TM infection, we detected and analyzed the serum exosomal miRNAs of AIDS patients with or without TM infection. Materials and Methods: We profiled the expression levels of miRNAs via RNA sequen-cing in serum exosomes from the pooled samples of 17 AIDS patients combined without TM infection and 15 AIDS combined with TM infection patients. For external validation, we validated these results using real-time quantification polymerase chain reaction (qRT-PCR) in an independent cohort of 35 AIDS patients combined without TM infection and 33 AIDS combined with TM infection patients. Finally, bioinformatics was used to predict the target genes and pathways of meaningful miRNAs. Results: A total of 131 serum exosomal miRNAs including 73 up-regulated and 59 down-regulated miRNAs were found to be differentially expressed (log2FC &gt;= 1 and FDR &lt;0.01) in the two groups. A validation analysis revealed that three miRNAs (miR-192-5p, miR-194-5p and miR-1246) were upregulated in exosomes from AIDS combined with TM infection patients. ROC analyses showed that the AUC in combined diagnosis of the three miRNAs was 0.742, and the diagnostic sensitivity and specificity were 0.568 and 0.861, respectively. In the biological process analysis, all the 3 miRNAs were involved in transcription, DNA-templated and positive regulation of transcription from RNA polymerase II promoter. At the same time, the related pathways were involved in TGF-I3 signaling pathway, AMPK signaling pathway, Wnt signaling pathway, MAPK signaling pathway, cGMP-PKG and cAMP signaling pathway, etc. Conclusion: miR-192-5p, miR-194-5p and miR-1246 in serum exosomes might be a potential biomarker for AIDS combined with TM infection patients, which may be involved in TGF-I3 signaling pathway, AMPK signaling pathway, Wnt signaling pathway, MAPK signaling pathway, cGMP-PKG and cAMP signaling pathway, etc. Further research is needed on the biological functions and mechanisms of these miRNAs.</t>
  </si>
  <si>
    <t>[Ning, Qiu-Yue; Wu, Ji-Zhou; Hu, Die-Fei; Wei, Qi; Li, Guo-Jian] Guangxi Med Univ, Affiliated Hosp 1, Dept Infect Dis, Nanning, Guangxi, Peoples R China; [Liu, Na] Guangxi Med Univ, Life Sci Inst, Nanning, Guangxi, Peoples R China; [Zhou, Jin-Ai] Youjiang Med Univ Nationalities, Baise, Guangxi, Peoples R China; [Zou, Jun] Fourth Peoples Hosp Nanning, Nanning, Guangxi, Peoples R China; [Zang, Ning] Guangxi Med Univ, Sch Basic Med, Nanning, Guangxi, Peoples R China; [Zang, Ning] Guangxi Med Univ, Key Lab AIDS Prevent &amp; Treatment, Nanning, Guangxi, Peoples R China</t>
  </si>
  <si>
    <t>Guangxi Medical University; Guangxi Medical University; Youjiang Medical University for Nationalities; Guangxi Medical University; Guangxi Medical University</t>
  </si>
  <si>
    <t>Li, GJ (corresponding author), Guangxi Med Univ, Affiliated Hosp 1, Dept Infect Dis, Nanning, Guangxi, Peoples R China.;Zang, N (corresponding author), Guangxi Med Univ, Sch Basic Med, Nanning, Guangxi, Peoples R China.;Zang, N (corresponding author), Guangxi Med Univ, Key Lab AIDS Prevent &amp; Treatment, Nanning, Guangxi, Peoples R China.</t>
  </si>
  <si>
    <t>zangning@gxmu.edu.cn; liguojian2016@yeah.net</t>
  </si>
  <si>
    <t>1178-6973</t>
  </si>
  <si>
    <t>10.2147/IDR.S338321</t>
  </si>
  <si>
    <t>Infectious Diseases; Pharmacology &amp; Pharmacy</t>
  </si>
  <si>
    <t>WOS:000723247800001</t>
  </si>
  <si>
    <t>Sterzenbach, U; Putz, U; Low, LH; Silke, J; Tan, SS; Howitt, J</t>
  </si>
  <si>
    <t>Sterzenbach, Ulrich; Putz, Ulrich; Low, Ley-Hian; Silke, John; Tan, Seong-Seng; Howitt, Jason</t>
  </si>
  <si>
    <t>Engineered Exosomes as Vehicles for Biologically Active Proteins</t>
  </si>
  <si>
    <t>EXTRACELLULAR VESICLES; NEURONAL SURVIVAL; PLASMA EXOSOME; IN-VIVO; NDFIP1; BRAIN; CELLS; PTEN; UBIQUITINATION; BIOGENESIS</t>
  </si>
  <si>
    <t>Exosomes represent an attractive vehicle for the delivery of biomolecules. However, mechanisms for loading functional molecules into exosomes are relatively unexplored. Here we report the use of the evolutionarily conserved late-domain (L-domain) pathway as a mechanism for loading exogenous proteins into exosomes. We demonstrate that labeling of a target protein, Cre recombinase, with a WW tag leads to recognition by the L-domain-containing protein Ndfipl, resulting in ubiquitination and loading into exosomes. Our results show that Ndfipl expression acts as a molecular switch for exosomal packaging of WW-Cre that can be suppressed using the exosome inhibitor GW4869. When taken up by floxed reporter cells, exosomes containing WW-Cre were capable of inducing DNA recombination, indicating functional delivery of the protein to recipient cells. Engineered exosomes were administered to the brain of transgenic reporter mice using the nasal route to test for intracellular protein delivery in vivo. This resulted in the transport of engineered exosomes predominantly to recipient neurons in a number of brain regions, including the olfactory bulb, cortex, striatum, hippocampus, and cerebellum. The ability to engineer exosomes to deliver biologically active proteins across the blood-brain barrier represents an important step for the development of therapeutics to treat brain diseases.</t>
  </si>
  <si>
    <t>[Sterzenbach, Ulrich; Putz, Ulrich; Tan, Seong-Seng; Howitt, Jason] Univ Melbourne, Florey Inst Neurosci &amp; Mental Hlth, Kenneth Myer Bldg,30 Royal Parade, Parkville, Vic 3052, Australia; [Low, Ley-Hian] Univ Calif San Francisco, San Francisco, CA 94121 USA; [Low, Ley-Hian] Vet Affairs Med Ctr, San Francisco, CA 94121 USA; [Silke, John] Univ Melbourne, Walter &amp; Eliza Hall Inst, Parkville, Vic 3052, Australia</t>
  </si>
  <si>
    <t>Florey Institute of Neuroscience &amp; Mental Health; University of Melbourne; University of California System; University of California San Francisco; US Department of Veterans Affairs; Veterans Health Administration (VHA); University of Melbourne; Walter &amp; Eliza Hall Institute</t>
  </si>
  <si>
    <t>Howitt, J (corresponding author), Univ Melbourne, Florey Inst Neurosci &amp; Mental Hlth, Kenneth Myer Bldg,30 Royal Parade, Parkville, Vic 3052, Australia.</t>
  </si>
  <si>
    <t>jason.howitt@florey.edu.au</t>
  </si>
  <si>
    <t>Silke, John/B-7622-2008</t>
  </si>
  <si>
    <t>Silke, John/0000-0002-7611-5774; Howitt, Jason/0000-0001-9922-7931</t>
  </si>
  <si>
    <t>JUN 7</t>
  </si>
  <si>
    <t>10.1016/j.ymthe.2017.03.030</t>
  </si>
  <si>
    <t>WOS:000403196300004</t>
  </si>
  <si>
    <t>Le Rhun, E; Seoane, J; Salzet, M; Soffietti, R; Weller, M</t>
  </si>
  <si>
    <t>Le Rhun, Emilie; Seoane, Joan; Salzet, Michel; Soffietti, Riccardo; Weller, Michael</t>
  </si>
  <si>
    <t>Liquid biopsies for diagnosing and monitoring primary tumors of the central nervous system</t>
  </si>
  <si>
    <t>Biopsy; Brain; CSF; Glioma; Liquid; Plasma; Tumor</t>
  </si>
  <si>
    <t>CEREBROSPINAL-FLUID; URINARY 2-HYDROXYGLUTARATE; MICRORNA SIGNATURE; BRAIN-TUMORS; DNA; METHYLATION; BIOMARKER; EXOSOMES; CANCER; GLIOMA</t>
  </si>
  <si>
    <t>Obtaining diagnostic specimens, notably to monitor disease course in cancer patients undergoing therapy, is an emerging area of research, however, with few clinical implications so far in the field of Neuro-oncology. Specifically for patients with primary brain tumors where repeat biosampling from the tumor and clinical decision making based on neuroimaging alone remain challenging, this area may assume a central role. In principle, sampling could focus on blood, cerebrospinal fluid or urine with differential sensitivities and specificities of findings that differ between specific parameters and target molecules. These include protein, mRNA, miRNA, cell-free DNA, either freely circulating or as cargo of extracellular vesicles, as well circulating tumor cells. The most solid biomarkers are those directly reflecting neoplastic disease, e.g., in the case of primary brain tumors isocitrate dehydrogenase mutation or epidermal growth factor receptor variant III. Importantly, the main goals of liquid biopsy marker development are to better understand response to therapy, natural evolution and emergence of resistant clones, rather than obviating the need for surgical interventions which remain to be a mainstay of therapy for the vast majority of primary brain tumors.</t>
  </si>
  <si>
    <t>[Le Rhun, Emilie; Weller, Michael] Univ Hosp, Dept Neurol, Zurich, Switzerland; [Le Rhun, Emilie; Weller, Michael] Univ Hosp, Clin Neurosci Ctr, Zurich, Switzerland; [Le Rhun, Emilie; Weller, Michael] Univ Zurich, Frauenklin Str 26, CH-8091 Zurich, Switzerland; [Le Rhun, Emilie] Univ Lille, U1192, F-59000 Lille, France; [Le Rhun, Emilie] INSERM, U1192, F-59000 Lille, France; [Le Rhun, Emilie] CHU Lille, Neurooncol Gen &amp; Stereotax Neurosurg Serv, F-59000 Lille, France; [Le Rhun, Emilie] Oscar Lambret Ctr, Neurol, F-59000 Lille, France; [Seoane, Joan] Univ Autonoma Barcelona, Vall DHebron Univ Hosp HUVH, Vall DHebron Inst Oncol VHIO, ICREA,CIBERONC, Barcelona, Spain; [Salzet, Michel] Univ Lille, Lab Prote Reponse Inflammatoire &amp; Spectrometrie M, INSERM, U1192, F-59000 Lille, France; [Soffietti, Riccardo] Univ &amp; City Hlth &amp; Sci Hosp, Dept Neurooncol, Turin, Italy</t>
  </si>
  <si>
    <t>University of Zurich; Universite de Lille - ISITE; Universite de Lille; Institut National de la Sante et de la Recherche Medicale (Inserm); Universite de Lille - ISITE; Universite de Lille; Universite de Lille - ISITE; CHU Lille; UNICANCER; Centre Oscar Lambret; Autonomous University of Barcelona; CIBER - Centro de Investigacion Biomedica en Red; CIBERONC; Hospital Universitari Vall d'Hebron; ICREA; Vall d'Hebron Institut d'Oncologia (VHIO); Institut National de la Sante et de la Recherche Medicale (Inserm); Universite de Lille - ISITE; Universite de Lille; A.O.U. Citta della Salute e della Scienza di Torino</t>
  </si>
  <si>
    <t>Weller, M (corresponding author), Univ Zurich, Frauenklin Str 26, CH-8091 Zurich, Switzerland.;Weller, M (corresponding author), Univ Hosp, Dept Neurol, Lab Mol Neurooncol, Frauenklin Str 26, CH-8091 Zurich, Switzerland.</t>
  </si>
  <si>
    <t>michael.weller@usz.ch</t>
  </si>
  <si>
    <t>Salzet, Michel/A-7675-2011; Soffietti, Riccardo/AAA-7965-2022; Seoane, Joan/AAG-9173-2019</t>
  </si>
  <si>
    <t>Salzet, Michel/0000-0003-4318-0817; Soffietti, Riccardo/0000-0002-9204-7038; Seoane, Joan/0000-0002-6541-5974; Weller, Michael/0000-0002-1748-174X</t>
  </si>
  <si>
    <t>JUN 28</t>
  </si>
  <si>
    <t>10.1016/j.canlet.2020.03.021</t>
  </si>
  <si>
    <t>WOS:000525869200004</t>
  </si>
  <si>
    <t>Moon, PG; Lee, JE; Cho, YE; Lee, SJ; Jung, JH; Chae, YS; Bae, HI; Kim, YB; Kim, IS; Park, HY; Baek, MC</t>
  </si>
  <si>
    <t>Moon, Pyong-Gon; Lee, Jeong-Eun; Cho, Young-Eun; Lee, Soo Jung; Jung, Jin Hyang; Chae, Yee Soo; Bae, Han-Ik; Kim, Young-Bum; Kim, In-San; Park, Ho Yong; Baek, Moon-Chang</t>
  </si>
  <si>
    <t>Identification of Developmental Endothelial Locus-1 on Circulating Extracellular Vesicles as a Novel Biomarker for Early Breast Cancer Detection</t>
  </si>
  <si>
    <t>URINARY EXOSOMES; TUMOR DNA; MICROVESICLES; RECOMMENDATIONS; METASTASIS; PROGNOSIS; MARKERS; PROTEIN; DEL-1; CELLS</t>
  </si>
  <si>
    <t>Purpose: Currently, there are no molecular biomarkers for the early detection of breast cancer. This study focused on identifying surface proteins found on circulating extracellular vesicles (EVs) for detecting early-stage breast cancer. Experimental Design: Circulating EVs, isolated from the plasma of 10 patients with breast cancer (stages I and II) and 5 healthy controls, were analyzed using LC-MS/MS. Developmental endothelial locus-1 protein (Del-1) was selected as a candidate biomarker. Two different ELISAs were used to measure Del-1 in plasma samples from healthy controls (n = 81), patients with breast cancer (n = 269), breast cancer patients after surgical resection (n = 50), patients with benign breast tumors (n = 64), and patients with noncancerous diseases (n = 98) in two cohorts. Results: Plasma Del-1 levels were significantly higher (P &lt; 0.0001) in patients with breast cancer than in all controls and returned to almost normal after tumor removal. The diagnostic accuracy of Del-1 was AUC, 0.961 [95% confidence interval (CI), 0.924-0.983], sensitivity of 94.70%, and specificity of 86.36% in test cohort and 0.968 (0.933-0.988), 92.31%, and 86.62% in validation cohort for early-stage breast cancer by one type of ELISA. Furthermore, Del-1 maintained diagnostic accuracy for patients with early-stage breast cancer using the other type of ELISA [0.946 (0.905-0.972), 90.90%, and 77.14% in the test cohort; 0.943 (0.900-0.971), 89.23%, and 80.99% in the validation cohort]. Conclusions: Del-1 on circulating EVs is a promising marker to improve identification of patients with early-stage breast cancer and distinguish breast cancer from benign breast tumors and noncancerous diseases. (C) 2015 AACR.</t>
  </si>
  <si>
    <t>[Moon, Pyong-Gon; Lee, Jeong-Eun; Cho, Young-Eun; Baek, Moon-Chang] Kyungpook Natl Univ, Cell &amp; Matrix Res Inst, Sch Med, Dept Mol Med, Daegu 700422, South Korea; [Lee, Soo Jung; Chae, Yee Soo] Kyungpook Natl Univ Hosp, Dept Oncol Hematol, Daegu, South Korea; [Jung, Jin Hyang; Park, Ho Yong] Kyungpook Natl Univ Hosp, Dept Breast &amp; Thyroid Surg, Daegu, South Korea; [Bae, Han-Ik] Kyungpook Natl Univ Hosp, Dept Pathol, Daegu, South Korea; [Kim, Young-Bum] Beth Israel Deaconess Med Ctr, Div Endocrinol Diabet &amp; Metab, Boston, MA 02215 USA; [Kim, Young-Bum] Harvard Univ, Sch Med, Boston, MA 02215 USA; [Kim, In-San] Kyungpook Natl Univ, Dept Biochem &amp; Cell Biol, Sch Med, Daegu 700422, South Korea</t>
  </si>
  <si>
    <t>Kyungpook National University; Kyungpook National University; Kyungpook National University Hospital; Kyungpook National University; Kyungpook National University Hospital; Kyungpook National University; Kyungpook National University Hospital; Harvard University; Beth Israel Deaconess Medical Center; Harvard University; Kyungpook National University</t>
  </si>
  <si>
    <t>Baek, MC (corresponding author), Kyungpook Natl Univ, 101 Donging Dong, Daegu 700422, South Korea.</t>
  </si>
  <si>
    <t>mcbaek@knu.ac.kr</t>
  </si>
  <si>
    <t>김, 인산/I-8988-2014; Kim, In-San/D-3956-2017</t>
  </si>
  <si>
    <t>Lee, Jeong-Eun/0000-0002-1466-0523</t>
  </si>
  <si>
    <t>10.1158/1078-0432.CCR-15-0654</t>
  </si>
  <si>
    <t>WOS:000373360600023</t>
  </si>
  <si>
    <t>Mehaffy, C; Dobos, KM; Nahid, P; Kruh-Garcia, NA</t>
  </si>
  <si>
    <t>Mehaffy, Carolina; Dobos, Karen M.; Nahid, Payam; Kruh-Garcia, Nicole A.</t>
  </si>
  <si>
    <t>Second generation multiple reaction monitoring assays for enhanced detection of ultra-low abundance Mycobacterium tuberculosis peptides in human serum</t>
  </si>
  <si>
    <t>CLINICAL PROTEOMICS</t>
  </si>
  <si>
    <t>MRM (Multiple Reaction Monitoring); Mass Spectrometry; Tuberculosis; Exosomes; Mycobacterium tuberculosis; Biomarker</t>
  </si>
  <si>
    <t>ACTIVE ANTIRETROVIRAL THERAPY; PROTEOMIC ANALYSIS; URINARY BIOMARKERS; EXOSOMES; MACROPHAGES</t>
  </si>
  <si>
    <t>Background: Mycobacterium tuberculosis (Mtb) is the causative agent of Tuberculosis (TB), the number one cause of death due to an infectious disease. TB diagnosis is performed by microscopy, culture or PCR amplification of bacterial DNA, all of which require patient sputum or the biopsy of infected tissue. Detection of mycobacterial products in serum, as biomarkers of diagnosis or disease status would provide an improvement over current methods. Due to the low-abundance of mycobacterial products in serum, we have explored exosome enrichment to improve sensitivity. Mtb resides intracellularly where its secreted proteins have been shown to be packaged into host exosomes and released into the bloodstream. Exosomes can be readily purified assuring an enrichment of mycobacterial analytes from the complex mix of host serum proteins. Methods: Multiple reaction monitoring assays were optimized for the enhanced detection of 41 Mtb peptides in exosomes purified from the serum of individuals with TB. Exosomes isolated from the serum of healthy individuals was used to create and validate a unique data analysis algorithm and identify filters to reduce the rate of false positives, attributed to host m/ z interference. The final optimized method was tested in 40 exosome samples from TB positive patients. Results: Our enhanced methods provide limit of detection and quantification averaging in the low femtomolar range for detection of mycobacterial products in serum. At least one mycobacterial peptide was identified in 92.5% of the TB positive patients. Four peptides from the Mtb proteins, Cfp2, Mpt32, Mpt64 and BfrB, show normalized total peak areas significantly higher in individuals with active TB as compared to healthy controls; three of the peptides from these proteins have not previously been associated with serum exosomes from individuals with active TB disease. Some of the detected peptides were significantly associated with specific geographical locations, highlighting potential markers that can be linked to the Mtb strains circulating within each given region. Conclusions: An enhanced MRM method to detect ultra-low abundance Mtb peptides in human serum exosomes is demonstrated, highlighting the potential of this methodology for TB diagnostic biomarker development.</t>
  </si>
  <si>
    <t>[Mehaffy, Carolina; Dobos, Karen M.; Kruh-Garcia, Nicole A.] Colorado State Univ, Dept Microbiol Immunol &amp; Pathol, 1682 Campus Delivery, Ft Collins, CO 80524 USA; [Mehaffy, Carolina] Colorado State Univ, Prote &amp; Metabol Facil, 2021 Campus Delivery, Ft Collins, CO 80523 USA; [Nahid, Payam] Univ Calif San Francisco, Div Pulm &amp; Crit Care Med, San Francisco, CA 94143 USA</t>
  </si>
  <si>
    <t>Colorado State University; Colorado State University; University of California System; University of California San Francisco</t>
  </si>
  <si>
    <t>Kruh-Garcia, NA (corresponding author), Colorado State Univ, Dept Microbiol Immunol &amp; Pathol, 1682 Campus Delivery, Ft Collins, CO 80524 USA.</t>
  </si>
  <si>
    <t>Nicole.Kruh@Colostate.edu</t>
  </si>
  <si>
    <t>Kruh-Garcia, Nicole/D-5853-2017</t>
  </si>
  <si>
    <t>Kruh-Garcia, Nicole/0000-0002-9896-8380; Nahid, Payam/0000-0003-2811-1311</t>
  </si>
  <si>
    <t>1542-6416</t>
  </si>
  <si>
    <t>1559-0275</t>
  </si>
  <si>
    <t>10.1186/s12014-017-9156-y</t>
  </si>
  <si>
    <t>WOS:000403046200001</t>
  </si>
  <si>
    <t>O'Hara, BA; Gee, GV; Haley, SA; Morris-Love, J; Nyblade, C; Nieves, C; Hanson, BA; Dang, X; Turner, TJ; Chavin, JM; Lublin, A; Koralnik, IJ; Atwood, WJ</t>
  </si>
  <si>
    <t>O'Hara, Bethany A.; Gee, Gretchen V.; Haley, Sheila A.; Morris-Love, Jenna; Nyblade, Charlotte; Nieves, Chris; Hanson, Barbara A.; Dang, Xin; Turner, Timothy J.; Chavin, Jeffrey M.; Lublin, Alex; Koralnik, Igor J.; Atwood, Walter J.</t>
  </si>
  <si>
    <t>Teriflunomide Inhibits JCPyV Infection and Spread in Glial Cells and Choroid Plexus Epithelial Cells</t>
  </si>
  <si>
    <t>multiple sclerosis; demyelination; glia; autoimmunity; neuroinflammation; choroid plexus; extracellular vesicle; polyomavirus</t>
  </si>
  <si>
    <t>PROGRESSIVE MULTIFOCAL LEUKOENCEPHALOPATHY; NATALIZUMAB; PATIENT; VIRUS; RISK</t>
  </si>
  <si>
    <t>Several classes of immunomodulators are used for treating relapsing-remitting multiple sclerosis (RRMS). Most of these disease-modifying therapies, except teriflunomide, carry the risk of progressive multifocal leukoencephalopathy (PML), a severely debilitating, often fatal virus-induced demyelinating disease. Because teriflunomide has been shown to have antiviral activity against DNA viruses, we investigated whether treatment of cells with teriflunomide inhibits infection and spread of JC polyomavirus (JCPyV), the causative agent of PML. Treatment of choroid plexus epithelial cells and astrocytes with teriflunomide reduced JCPyV infection and spread. We also used droplet digital PCR to quantify JCPyV DNA associated with extracellular vesicles isolated from RRMS patients. We detected JCPyV DNA in all patients with confirmed PML diagnosis (n = 2), and in six natalizumab-treated (n = 12), two teriflunomide-treated (n = 7), and two nonimmunomodulated (n = 2) patients. Of the 21 patients, 12 (57%) had detectable JCPyV in either plasma or serum. CSF was uniformly negative for JCPyV. Isolation of extracellular vesicles did not increase the level of detection of JCPyV DNA versus bulk unprocessed biofluid. Overall, our study demonstrated an effect of teriflunomide inhibiting JCPyV infection and spread in glial and choroid plexus epithelial cells. Larger studies using patient samples are needed to correlate these in vitro findings with patient data.</t>
  </si>
  <si>
    <t>[O'Hara, Bethany A.; Haley, Sheila A.; Morris-Love, Jenna; Nyblade, Charlotte; Nieves, Chris; Atwood, Walter J.] Brown Univ, Dept Mol Biol Cell Biol &amp; Biochem, Providence, RI 02903 USA; [Gee, Gretchen V.] Univ Massachusetts, Sch Med, MassBiol, Worcester, MA 01601 USA; [Hanson, Barbara A.; Dang, Xin; Koralnik, Igor J.] Northwestern Univ, Feinberg Sch Med, Davee Dept Neurol, Chicago, IL 60007 USA; [Turner, Timothy J.; Chavin, Jeffrey M.; Lublin, Alex] Sanofi, Cambridge, MA 02114 USA</t>
  </si>
  <si>
    <t>Brown University; University of Massachusetts System; University of Massachusetts Worcester; Northwestern University; Feinberg School of Medicine; Sanofi-Aventis</t>
  </si>
  <si>
    <t>Atwood, WJ (corresponding author), Brown Univ, Dept Mol Biol Cell Biol &amp; Biochem, Providence, RI 02903 USA.</t>
  </si>
  <si>
    <t>bethany_ohara@brown.edu; Gretchen.Gee@umassmed.edu; sheila_haley@brown.edu; jenna_morris-love@brown.edu; charlotte_nyblade@brown.edu; chris_nieves@brown.edu; barbara.hanson@northwestern.edu; xin.dang@northwestern.edu; Timothy.Turner@sanofi.com; jeffrey.chavin@sanofi.com; alex.lublin@sanofi.com; igor.koralnik@northwestern.edu; Walter_Atwood@brown.edu</t>
  </si>
  <si>
    <t>Morris-Love, Jenna/0000-0002-4853-2175; Atwood, Walter/0000-0002-3763-9073</t>
  </si>
  <si>
    <t>10.3390/ijms22189809</t>
  </si>
  <si>
    <t>WOS:000699823900001</t>
  </si>
  <si>
    <t>Estebanez, B; Visavadiya, NP; de Paz, JA; Whitehurst, M; Cuevas, MJ; Gonzalez-Gallego, J; Huang, CJ</t>
  </si>
  <si>
    <t>Estebanez, Brisamar; Visavadiya, Nishant P.; de Paz, Jose A.; Whitehurst, Michael; Cuevas, Maria J.; Gonzalez-Gallego, Javier; Huang, Chun-Jung</t>
  </si>
  <si>
    <t>Resistance Training Diminishes the Expression of Exosome CD63 Protein without Modification of Plasma miR-146a-5p and cfDNA in the Elderly</t>
  </si>
  <si>
    <t>aging; cell-free DNA; exercise-promoted exosomes; extracellular vesicles; inflammaging; microRNAs; physical activity; strength training</t>
  </si>
  <si>
    <t>Aging-associated inflammation is characterized by senescent cell-mediated secretion of high levels of inflammatory mediators, such as microRNA (miR)-146a. Moreover, a rise of circulating cell-free DNA (cfDNA) is also related to systemic inflammation and frailty in the elderly. Exosome-mediated cell-to-cell communication is fundamental in cellular senescence and aging. The plasma changes in exercise-promoted miR-146a-5p, cfDNA, and exosome release could be the key to facilitate intercellular communication and systemic adaptations to exercise in aging. Thirty-eight elderly subjects (28 trained and 10 controls) volunteered in an 8-week resistance training protocol. The levels of plasma miR-146a-5p, cfDNA, and exosome markers (CD9, CD14, CD63, CD81, Flotillin [Flot]-1, and VDAC1) were measured prior to and following training. Results showed no changes in plasma miR-146a-5p and cfDNA levels with training. The levels of exosome markers (Flot-1, CD9, and CD81) as well as exosome-carried proteins (CD14 and VDAC1) remained unchanged, whereas an attenuated CD63 response was found in the trained group compared to the controls. These findings might partially support the anti-inflammatory effect of resistance training in the elderly as evidenced by the diminishment of exosome CD63 protein expression, without modification of plasma miR-146a-5p and cfDNA.</t>
  </si>
  <si>
    <t>[Estebanez, Brisamar; de Paz, Jose A.; Cuevas, Maria J.; Gonzalez-Gallego, Javier] Univ Leon, Inst Biomed IBIOMED, Leon 24007, Spain; [Visavadiya, Nishant P.; Whitehurst, Michael; Huang, Chun-Jung] Florida Atlantic Univ, Dept Exercise Sci &amp; Hlth Promot, Exercise Biochem Lab, Boca Raton, FL 33431 USA</t>
  </si>
  <si>
    <t>Universidad de Leon; State University System of Florida; Florida Atlantic University</t>
  </si>
  <si>
    <t>Estebanez, B (corresponding author), Univ Leon, Inst Biomed IBIOMED, Leon 24007, Spain.;Huang, CJ (corresponding author), Florida Atlantic Univ, Dept Exercise Sci &amp; Hlth Promot, Exercise Biochem Lab, Boca Raton, FL 33431 USA.</t>
  </si>
  <si>
    <t>b.estebanez@unileon.es; nvisavadiya@fau.edu; japazf@unileon.es; whitehur@fau.edu; mj.cuevas@unileon.es; jgonga@unileon.es; chuang5@fau.edu</t>
  </si>
  <si>
    <t>Estébanez, Brisamar/G-3863-2017; de Paz, José Antonio/M-4930-2015; Gonzalez-Gallego, Javier/D-8219-2012</t>
  </si>
  <si>
    <t>Estébanez, Brisamar/0000-0001-5034-9508; de Paz, José Antonio/0000-0002-4389-1777; Gonzalez-Gallego, Javier/0000-0002-4386-9342; Huang, Chun-Jung/0000-0002-0425-8311</t>
  </si>
  <si>
    <t>10.3390/nu13020665</t>
  </si>
  <si>
    <t>WOS:000622917600001</t>
  </si>
  <si>
    <t>Li, H; Jiang, M; Zhao, SY; Zhang, SQ; Lu, L; He, X; Feng, GX; Wu, X; Fan, SJ</t>
  </si>
  <si>
    <t>Li, Hang; Jiang, Mian; Zhao, Shu-ya; Zhang, Shu-qin; Lu, Lu; He, Xin; Feng, Guo-xing; Wu, Xin; Fan, Sai-jun</t>
  </si>
  <si>
    <t>Exosomes are involved in total body irradiation-induced intestinal injury in mice</t>
  </si>
  <si>
    <t>total body irradiation; radiation-induced intestinal injury; DNA damage; apoptosis; exosome; MicroRNA; GW4869</t>
  </si>
  <si>
    <t>Ionizing radiation-induced intestinal injury is a catastrophic complication in patients receiving radiotherapy. Circulating exosomes from patients undergoing radiotherapy can mediate communication between cells and facilitate a variety of pathological processes in vivo, but its effects on ionizing radiation-induced intestinal damage are undetermined. In this study we investigated the roles of exosomes during total body irradiation (TBI)-induced intestinal injury in vivo and in vitro. We isolated exosomes from serum of donor mice 24 h after lethal dose (9 Gy) TBI (Exo-IR-24h), then intravenously injected the exosomes into receipt mice, and found that Exo-IR-24h injection not only exacerbated 9 Gy TBI-induced lethality and weight loss, but also promoted crypt-villus structural and functional injury of the small intestine in receipt mice. Moreover, Exo-IR-24h injection significantly enhanced the apoptosis and DNA damage of small intestine in receipt mice following TBI exposure. In murine intestinal epithelial MODE-K cells, treatment with Exo-IR-24h significantly promoted 4 Gy ionizing radiation-induced apoptosis, resulting in decreased cell vitality. We further demonstrated that Exo-IR-24h promoted the IR-induced injury in receipt mice partially through its DNA damage-promoting effects and attenuating Nrf2 antioxidant response in irradiated MODE-K cells. In addition, TBI-related miRNAs and their targets in the exosomes of mice were enriched functionally using Gene Ontology (GO) and Kyoto Encyclopedia of Genes and Genomes (KEGG) pathway analyses. Finally, injection of GW4869 (an inhibitor of exosome biogenesis and release, 1.25 mg center dot kg(-1)center dot d(-1), ip, for 5 consecutive days starting 3 days before radiation exposure) was able to rescue mice against 9 Gy TBI-induced lethality and intestinal damage. Collectively, this study reveals that exosomes are involved in TBI-induced intestinal injury in mice and provides a new target to protect patients against irradiation-induced intestinal injury during radiotherapy.</t>
  </si>
  <si>
    <t>[Li, Hang; Jiang, Mian; Zhao, Shu-ya; Zhang, Shu-qin; Lu, Lu; He, Xin; Feng, Guo-xing; Wu, Xin; Fan, Sai-jun] Chinese Acad Med Sci &amp; Peking Union Med Coll, Inst Radiat Med, Tianjin Key Lab Radiat Med &amp; Mol Nucl Med, Tianjin 300192, Peoples R China</t>
  </si>
  <si>
    <t>Chinese Academy of Medical Sciences - Peking Union Medical College; Institute of Radiation Medicine - CAMS; Peking Union Medical College</t>
  </si>
  <si>
    <t>Li, H; Fan, SJ (corresponding author), Chinese Acad Med Sci &amp; Peking Union Med Coll, Inst Radiat Med, Tianjin Key Lab Radiat Med &amp; Mol Nucl Med, Tianjin 300192, Peoples R China.</t>
  </si>
  <si>
    <t>lihang@irm-cams.ac.cn; fansaijun@irm-cams.ac.cn</t>
  </si>
  <si>
    <t>10.1038/s41401-021-00615-6</t>
  </si>
  <si>
    <t>WOS:000622271300001</t>
  </si>
  <si>
    <t>Que, ZJ; Luo, B; Wang, CT; Qian, FF; Jiang, Y; Li, Y; Han, XH; Li, HG; Liu, JX; Tian, JH</t>
  </si>
  <si>
    <t>Que, Zu-Jun; Luo, Bin; Wang, Chen-Tong; Qian, Fang-Fang; Jiang, Yi; Li, Yan; Han, Xiang-Hui; Li, He-Gen; Liu, Jia-Xiang; Tian, Jian-Hui</t>
  </si>
  <si>
    <t>Proteomics analysis of tumor exosomes reveals vital pathways of Jinfukang inhibiting circulating tumor cells metastasis in lung cancer</t>
  </si>
  <si>
    <t>JOURNAL OF ETHNOPHARMACOLOGY</t>
  </si>
  <si>
    <t>Lung cancer; Exosomes; Metastasis; Circulating tumor cells; Proteome</t>
  </si>
  <si>
    <t>Ethnopharmacological relevance: Jinfukang has long been used for the clinical treatment of lung cancer. Previous studies have shown that Jinfukang can induce the apoptosis of circulating tumor cells by intervening ROS-mediated DNA damage pathway. However, whether Jinfukang can inhibit the metastasis of circulating tumor cells and its mechanism are still unclear. Aim of the study: To further investigate the mechanism of Jinfukang in anti-metastasis of lung cancer from the perspective of intervention of tumor exosomes. Materials and methods: The invadopodia formation was determined with immunofluorescence. Invasion and migration were detected using the Transwell assay. Ultracentrifugation was used to isolate exosomes. Exosomes were characterized by electron microscopy, nanoparticle tracking analysis and immunoblotting, and the protein profile was evaluated by proteomic analysis. The molecular functions, biological processes and signaling pathway enrichment analysis were performed using Gene Ontology (GO) and Kyoto Encyclopedia of Genes and Genomes (KEGG). Key differentially expressed proteins were verified by Western blot. Results: Jinfukang can inhibit the expression of MMP14, cortactin, Tks5 and the formation of invadopodia of CTC-TJH-01 cells. Furthermore, Jinfukang can significantly inhibit the invasion and migration of CTC-TJH-01 cells. The diameter of exosomes extracted from the CTC-TJH-01 cells treated by Jinfukang was 30-100 nm, and the exosomal markers CD63, CD81 and TSG101 were expressed. We identified 680 deferentially expressed proteins. Gene oncology analysis indicated that exosomes were mostly derived from plasma membrane and mainly involved in protein localization and intracellular signaling. The ingenuity pathway analysis showed that the EGF pathway was significantly inhibited, whereas the GP6 signaling pathway was significantly activated. We also confirmed that Jinfukang inhibited the expression of EGF pathway-related proteins in CTC-TJH-01 cells. Besides, when EGF was used to activate EGF signaling pathway, the inhibition of Jinfukang on CTC cell metastasis was reversed. Conclusion: Jinfukang inhibits the metastasis of CTC-TJH-01 cells through the EGF pathway.</t>
  </si>
  <si>
    <t>[Que, Zu-Jun; Luo, Bin; Tian, Jian-Hui] Shanghai Univ Tradit Chinese Med, Longhua Hosp, Inst Tradit Chinese Med Oncol, Shanghai 200032, Peoples R China; [Que, Zu-Jun] Shanghai Univ Tradit Chinese Med, Sch Pharm, Shanghai 201203, Peoples R China; [Wang, Chen-Tong] Shanghai Jiao Tong Univ, Sch Life Sci &amp; Biotechnol, State Key Lab Microbial Metab, Shanghai 200240, Peoples R China; [Qian, Fang-Fang; Jiang, Yi; Li, He-Gen; Liu, Jia-Xiang; Tian, Jian-Hui] Shanghai Univ Tradit Chinese Med, Longhua Hosp, Dept Oncol, Shanghai 200032, Peoples R China; [Li, Yan] Shanghai Univ Tradit Chinese Med, Shanghai Municipal Hosp Tradit Chinese Med, Dept Oncol, Shanghai 200071, Peoples R China; [Han, Xiang-Hui] Shanghai Univ Tradit Chinese Med, Longhua Hosp, Inst Chinese Tradit Surg, Shanghai 200032, Peoples R China</t>
  </si>
  <si>
    <t>Shanghai University of Traditional Chinese Medicine; Shanghai University of Traditional Chinese Medicine; Shanghai Jiao Tong University; Shanghai University of Traditional Chinese Medicine; Shanghai University of Traditional Chinese Medicine; Shanghai University of Traditional Chinese Medicine</t>
  </si>
  <si>
    <t>Tian, JH (corresponding author), Shanghai Univ Tradit Chinese Med, Longhua Hosp, Oncol Inst Tradit Chinese Med, 725 South Wanping Rd, Shanghai 200032, Peoples R China.</t>
  </si>
  <si>
    <t>zujunque@shutcm.edu.cn; luo2014bin@163.com; 13122310063@163.com; 18883873419@163.com; 877708348@qq.com; liyan31415@163.com; hanxianghui1106@163.com; shlaogen@163.com; tjhhawk@163.com; hawk7150@hotmail.com</t>
  </si>
  <si>
    <t>que, zujun/F-9632-2014</t>
  </si>
  <si>
    <t>Que, Zujun/0000-0001-8739-2489; Tian, Jianhui/0000-0003-1577-9179</t>
  </si>
  <si>
    <t>0378-8741</t>
  </si>
  <si>
    <t>1872-7573</t>
  </si>
  <si>
    <t>10.1016/j.jep.2020.112802</t>
  </si>
  <si>
    <t>Plant Sciences; Chemistry, Medicinal; Integrative &amp; Complementary Medicine; Pharmacology &amp; Pharmacy</t>
  </si>
  <si>
    <t>Plant Sciences; Pharmacology &amp; Pharmacy; Integrative &amp; Complementary Medicine</t>
  </si>
  <si>
    <t>WOS:000528279300018</t>
  </si>
  <si>
    <t>Qamar, AY; Fang, X; Kim, MJ; Cho, J</t>
  </si>
  <si>
    <t>Qamar, Ahmad Yar; Fang, Xun; Kim, Min Jung; Cho, Jongki</t>
  </si>
  <si>
    <t>Improved Post-Thaw Quality of Canine Semen after Treatment with Exosomes from Conditioned Medium of Adipose-Derived Mesenchymal Stem Cells</t>
  </si>
  <si>
    <t>ANIMALS</t>
  </si>
  <si>
    <t>dog sperm; cryopreservation; exosomes; post-thaw quality</t>
  </si>
  <si>
    <t>IN-VITRO FERTILIZATION; TYROSINE PHOSPHORYLATION; DNA INTEGRITY; SPERM QUALITY; MICROVESICLES; FIBRONECTIN; CRYOPRESERVATION; EXPRESSION; PROTEIN; DAMAGE</t>
  </si>
  <si>
    <t>Simple Summary: In this study, we have tried to exploit the potential role of exosomes-derived from canine adipose-derived mesenchymal stem cells in the protection and repair of damaged sperm during cryopreservation. The treatment of sperm with an optimal level of exosomes resulted in improved post-thaw semen quality. This improvement was due to the exosomal proteins that protect the sperm against oxidative damage and induce the repair of membranes and chromatin. The effect of exosomal proteins was also confirmed by higher expression of genes related to the repair of membranes and chromatin accompanied by the lower expression of a gene associated with reactive oxygen species production. Abstract: Freezing decreases sperm quality, ultimately affecting fertilizing ability. The repair of freeze-damaged sperm is considered crucial for improving post-thaw viability and fertility. We investigated the effects of exosomes derived from canine adipose-derived mesenchymal stem cells on dog sperm structure and function during cryopreservation. The pooled ejaculate was diluted with buffer, without (Control), or with exosomal proteins (25, 50, or 100 mu g/mL). Using fresh semen, the determined optimal exosomal protein concentration was 50 mu g/mL (Group 2) which was used in further experiments. Post-thaw sperm treated with exosomes were superior to control (p &lt; 0.05) in terms of motility (56.8 +/- 0.3% vs. 47.2 +/- 0.3%), live sperm percentage (55.9 +/- 0.4% vs. 45.4 +/- 0.4%), membrane integrity (55.6 +/- 0.5% vs. 47.8 +/- 0.3%), and acrosome integrity (60.4 +/- 1.1% vs. 48.6 +/- 0.4%). Moreover, expression of genes related to the repair of the plasma membrane (ANX 1, FN 1, and DYSF), and chromatin material (H3, and HMGB 1) was statistically higher in exosome-treated sperm than control, but the expression of the mitochondrial reactive oxygen species modulator 1 gene was significantly higher in control. Therefore, exosomal treatment may improve the quality of post-thaw dog semen through initiating damaged sperm repair and decreasing reactive oxygen species production.</t>
  </si>
  <si>
    <t>[Qamar, Ahmad Yar; Fang, Xun; Cho, Jongki] Chungnam Natl Univ, Coll Vet Med, Daejeon 34134, South Korea; [Kim, Min Jung] Seoul Natl Univ, Coll Vet Med, Dept Theriogenol &amp; Biotechnol, Seoul 08826, South Korea</t>
  </si>
  <si>
    <t>Chungnam National University; Seoul National University (SNU)</t>
  </si>
  <si>
    <t>Cho, J (corresponding author), Chungnam Natl Univ, Coll Vet Med, Daejeon 34134, South Korea.;Kim, MJ (corresponding author), Seoul Natl Univ, Coll Vet Med, Dept Theriogenol &amp; Biotechnol, Seoul 08826, South Korea.</t>
  </si>
  <si>
    <t>drahmadqamar@gmail.com; fx2442@gmail.com; tinia19@snu.ac.kr; cjki@cnu.ac.kr</t>
  </si>
  <si>
    <t>Cho, Jongki/ABF-8410-2020</t>
  </si>
  <si>
    <t>Cho, Jongki/0000-0002-8431-0457</t>
  </si>
  <si>
    <t>2076-2615</t>
  </si>
  <si>
    <t>10.3390/ani9110865</t>
  </si>
  <si>
    <t>Agriculture, Dairy &amp; Animal Science; Veterinary Sciences; Zoology</t>
  </si>
  <si>
    <t>Agriculture; Veterinary Sciences; Zoology</t>
  </si>
  <si>
    <t>WOS:000502299900011</t>
  </si>
  <si>
    <t>Ye, W; Tang, XJ; Liu, C; Wen, CW; Li, W; Lyu, JX</t>
  </si>
  <si>
    <t>Ye, Wei; Tang, Xiaojun; Liu, Chu; Wen, Chaowei; Li, Wei; Lyu, Jianxin</t>
  </si>
  <si>
    <t>Accurate quantitation of circulating cell-free mitochondrial DNA in plasma by droplet digital PCR</t>
  </si>
  <si>
    <t>ANALYTICAL AND BIOANALYTICAL CHEMISTRY</t>
  </si>
  <si>
    <t>Circulating cell-free DNA; Mitochondrial DNA; Droplet digital PCR</t>
  </si>
  <si>
    <t>CANCER-PATIENTS; EXOSOMES; BIOMARKER; RELEASE; BIOGENESIS; AGE</t>
  </si>
  <si>
    <t>To establish a method for accurate quantitation of circulating cell-free mitochondrial DNA (ccf-mtDNA) in plasma by droplet digital PCR (ddPCR), we designed a ddPCR method to determine the copy number of ccf-mtDNA by amplifying mitochondrial ND1 (MT-ND1). To evaluate the sensitivity and specificity of the method, a recombinant pMD18-T plasmid containing MT-ND1 sequences and mtDNA-deleted (rho(0)) HeLa cells were used, respectively. Subsequently, different plasma samples were prepared for ddPCR to evaluate the feasibility of detecting plasma ccf-mtDNA. In the results, the ddPCR method showed high sensitivity and specificity. When the DNA was extracted from plasma prior to ddPCR, the ccf-mtDNA copy number was higher than that measured without extraction. This difference was not due to a PCR inhibitor, such as EDTA-Na-2, an anti-coagulant in plasma, because standard EDTA-Na-2 concentration (5 mM) did not significantly inhibit ddPCR reactions. The difference might be attributable to plasma exosomal mtDNA, which was 4.21 +/- 0.38 copies/mu L of plasma, accounting for similar to 19% of plasma ccf-mtDNA. Therefore, ddPCR can quickly and reliably detect ccf-mtDNA from plasma with a prior DNA extraction step, providing for a more accurate detection of ccf-mtDNA. The direct use of plasma as a template in ddPCR is suitable for the detection of exogenous cell-free nucleic acids within plasma, but not of nucleic acids that have a vesicle-associated form, such as exosomal mtDNA.</t>
  </si>
  <si>
    <t>[Ye, Wei; Tang, Xiaojun; Liu, Chu; Wen, Chaowei; Li, Wei; Lyu, Jianxin] Wenzhou Med Univ, Key Lab Lab Med, Minist Educ China, Sch Lab Med &amp; Life Sci, Wenzhou 325035, Zhejiang, Peoples R China</t>
  </si>
  <si>
    <t>Ministry of Education, China; Wenzhou Medical University</t>
  </si>
  <si>
    <t>Lyu, JX (corresponding author), Wenzhou Med Univ, Key Lab Lab Med, Minist Educ China, Sch Lab Med &amp; Life Sci, Wenzhou 325035, Zhejiang, Peoples R China.</t>
  </si>
  <si>
    <t>1618-2642</t>
  </si>
  <si>
    <t>1618-2650</t>
  </si>
  <si>
    <t>10.1007/s00216-017-0217-x</t>
  </si>
  <si>
    <t>WOS:000396783000023</t>
  </si>
  <si>
    <t>Renelli, M; Matias, V; Lo, RY; Beveridge, TJ</t>
  </si>
  <si>
    <t>DNA-containing membrane vesicles of Pseudomonas aeruginosa PAO1 and their genetic transformation potential</t>
  </si>
  <si>
    <t>MICROBIOLOGY-SGM</t>
  </si>
  <si>
    <t>GRAM-NEGATIVE BACTERIA; ENTEROTOXIGENIC ESCHERICHIA-COLI; HEAT-LABILE ENTEROTOXIN; OUTER-MEMBRANE; NEISSERIA-GONORRHOEAE; SHIGELLA-FLEXNERI; VIRULENCE FACTORS; GENTAMICIN; SECRETION; MECHANISM</t>
  </si>
  <si>
    <t>Natural membrane vesicles (n-MVs) produced by Pseudomonas aeruginosa PAO1 and PAO1 carrying plasmid pAK1900 (p-MVs) were purified and analysed for DNA content. The MVs were isolated by a procedure designed to ensure no cellular contamination from the parent MV-producing cells. Fluorometry analysis revealed that p-MVs were associated with 7(.)80 ng DNA (20 mug MV protein)(-1). PCR analysis using specific primers for pAK1900 sequences and a chromosomal target, oprL, indicated that only plasmid DNA was contained within the lumen of p-MVs after exogenous DNA was digested by DNase. MVs have previously been shown to be capable of fusing into the outer membrane (OM) of PAO1 and Escherichia coli DH5alpha. Accordingly, p-MVs should deliver the plasmid into the periplasm, where it would only have to by-pass the plasma membrane (PM) for effective transformation. It was speculated that p-MVs should increase transformation efficiency but the data suggested otherwise. p-MVs did not transform PAO1 nor DH5alpha under a variety of transforming conditions. To characterize p-MVs and to ensure that membrane-encapsulated pAK1900 was not derived from a small proportion of lysed cells within the culture and bound by PM instead of OM, which typically forms n-MVs, the physical and ultrastructural differences between n- and p-MVs were determined. Cryo-transmission electron microscopy (cryo-TEM) revealed that n-MVs and p-MVs closely resembled isolated OM. Buoyant density measurements using isopycnic sucrose gradients on isolated PM, OM, n- and p-MVs demonstrated that isolated OM and n-MVs both fractionated into two bands (rho = 1(.)240 and 1(.)260 g ml(-1)). p-MVs also produced two bands but at two different densities (rho = 1(.)250 and 1(.)265 g ml(-1)) which may be attributed to the presence of DNA. SIDS-PAGE showed that p-MVs possessed most major OM proteins and also contained 4370 nmol 3-deoxy-D-manno-octulosonic acid (KDO) (mg protein)(-1) as an LPS marker. The amount of NADH oxidase activity, a PM enzyme, in the p-MVs was barely detectable. These data strongly suggest that p-MVs are OM-based, with little if any PM material associated with them. The possibility of whether exogenous plasmid DNA could enter n-MVs once the vesicles had departed from cells was also tested; surprisingly, a small amount of DNA could. Accordingly, the data suggest that DNA can be taken up by MVs using two separate routes: (1) via a periplasmic route and (2) via an extracellular, exogenous route.</t>
  </si>
  <si>
    <t>Univ Guelph, Canadian Bacterial Dis Network, Natl Ctr Excellence, Guelph, ON N1G 2W1, Canada; Univ Guelph, Dept Microbiol, Guelph, ON N1G 2W1, Canada</t>
  </si>
  <si>
    <t>University of Guelph; University of Guelph</t>
  </si>
  <si>
    <t>Beveridge, TJ (corresponding author), Univ Guelph, Canadian Bacterial Dis Network, Natl Ctr Excellence, Guelph, ON N1G 2W1, Canada.</t>
  </si>
  <si>
    <t>tjb@uoguelph.ca</t>
  </si>
  <si>
    <t>1350-0872</t>
  </si>
  <si>
    <t>1465-2080</t>
  </si>
  <si>
    <t>10.1099/mic.0.26841-0</t>
  </si>
  <si>
    <t>WOS:000222857900017</t>
  </si>
  <si>
    <t>Analysis of human blood plasma cell-free DNA fragment size distribution using EvaGreen chemistry based droplet digital PCR assays</t>
  </si>
  <si>
    <t>Cell-free DNA; Exosome DNA; Fragment size distribution; Digital PCR; EvaGreen chemistry</t>
  </si>
  <si>
    <t>NONINVASIVE PRENATAL-DIAGNOSIS; MATERNAL PLASMA; FETAL DNA; MOLECULAR DIAGNOSTICS; QUANTITATION; ANEUPLOIDY; BIOMARKER; EXOSOMES; CANCER</t>
  </si>
  <si>
    <t>Background: Plasma cell-free DNA (cfDNA) fragment size distribution provides important information required for diagnostic assay development. We have developed and optimized droplet digital PCR (ddPCR) assays that quantify short and long DNA fragments. These assays were used to analyze plasma cfDNA fragment size distribution in human blood. Methods: Assays were designed to amplify 76,135, 490 and 905 base pair fragments of human beta-actin gene. These assays were used for fragment size analysis of plasma cell-free, exosome and apoptotic body DNA obtained from normal and pregnant donors. Results: The relative percentages for 76, 135, 490 and 905 bp fragments from non-pregnant plasma and exosome DNA were 100%, 39%, 18%, 5.6% and 100%, 40%, 18%,3.3%, respectively. The relative percentages for pregnant plasma and exosome DNA were 100%, 34%, 14%, 23%, and 100%, 30%, 12%, 18%, respectively. The relative percentages for non-pregnant plasma pellet (obtained after 2nd centrifugation step) were 100%, 100%, 87% and 83%, respectively. Conclusion: Non-pregnant Plasma cell-free and exosome DNA share a unique fragment distribution pattern which is different from pregnant donor plasma and exosome DNA fragment distribution indicating the effect of physiological status on cfDNA fragment size distribution. Fragment distribution pattern for plasma pellet that includes apoptotic bodies and nuclear DNA was greatly different from plasma cell-free and exosome DNA.</t>
  </si>
  <si>
    <t>[Fernando, M. Rohan; Jiang, Chao; Krzyzanowski, Gary D.] Univ Nebraska Med Ctr, Dept Obstet &amp; Gynecol, Omaha, NE 68198 USA; [Fernando, M. Rohan; Krzyzanowski, Gary D.; Ryan, Wayne L.] CFGenome, Dept Res &amp; Dev, Omaha, NE USA</t>
  </si>
  <si>
    <t>Fernando, MR (corresponding author), Univ Nebraska Med Ctr, Dept Obstet &amp; Gynecol, Omaha, NE 68198 USA.</t>
  </si>
  <si>
    <t>10.1016/j.cca.2018.04.017</t>
  </si>
  <si>
    <t>WOS:000438180600007</t>
  </si>
  <si>
    <t>Gebremedhn, S; Gad, A; Aglan, HS; Laurincik, J; Prochazka, R; Salilew-Wondim, D; Hoelker, M; Schellander, K; Tesfaye, D</t>
  </si>
  <si>
    <t>Gebremedhn, Samuel; Gad, Ahmed; Aglan, Hoda Samir; Laurincik, Jozef; Prochazka, Radek; Salilew-Wondim, Dessie; Hoelker, Michael; Schellander, Karl; Tesfaye, Dawit</t>
  </si>
  <si>
    <t>Extracellular vesicles shuttle protective messages against heat stress in bovine granulosa cells</t>
  </si>
  <si>
    <t>SHOCK PROTEINS; ENDOPLASMIC-RETICULUM; FOLLICULAR ATRESIA; PLASMA-MEMBRANE; APOPTOSIS; SUMMER; HSP90; HSP70; COMMUNICATION; REPRODUCTION</t>
  </si>
  <si>
    <t>Elevated summer temperature is reported to be the leading cause of stress in dairy and beef cows, which negatively affects various reproductive functions. Follicular cells respond to heat stress (HS) by activating the expression of heat shock family proteins (HSPs) and other antioxidants. HS is reported to negatively affect the bi-directional communication between the follicular cells and the oocyte, which is partly mediated by follicular fluid extracellular vesicles (EVs) released from surrounding cells. As carriers of bioactive molecules (DNA, RNA, protein, and lipids), the involvement of EVs in mediating the stress response in follicular cells is not fully understood. Here we used an in vitro model to decipher the cellular and EV-coupled miRNAs of bovine granulosa cells in response to HS. Moreover, the protective role of stress-related EVs against subsequent HS was assessed. For this, bovine granulosa cells from smaller follicles were cultured in vitro and after sub-confluency, cells were either kept at 37 degrees C or subjected to HS (42 degrees C). Results showed that granulosa cells exposed to HS increased the accumulation of ROS, total oxidized protein, apoptosis, and the expression of HSPs and antioxidants, while the viability of cells was reduced. Moreover, 14 and 6 miRNAs were differentially expressed in heat-stressed granulosa cells and the corresponding EVs, respectively. Supplementation of stress-related EVs in cultured granulosa cells has induced adaptive response to subsequent HS. However, this potential was not pronounced when the cells were kept under 37 degrees C. Taking together, EVs generated from granulosa cells exposed to HS has the potential to shuttle bioactive molecules to recipient cells and make them robust to subsequent HS.</t>
  </si>
  <si>
    <t>[Gebremedhn, Samuel; Tesfaye, Dawit] Colorado State Univ, Dept Biomed Sci, Anim Reprod &amp; Biotechnol Lab, 1351 Rampart Rd, Ft Collins, CO 80525 USA; [Gebremedhn, Samuel; Aglan, Hoda Samir; Salilew-Wondim, Dessie; Hoelker, Michael; Schellander, Karl; Tesfaye, Dawit] Univ Bonn, Inst Anim Sci, Anim Breeding &amp; Husb Grp, Bonn, Germany; [Gad, Ahmed; Laurincik, Jozef; Prochazka, Radek] Czech Acad Sci, Inst Anim Physiol &amp; Genet, Lab Dev Biol, Libechov, Czech Republic; [Gad, Ahmed] Cairo Univ, Dept Anim Prod, Fac Agr, Giza, Egypt; [Laurincik, Jozef] Constantine Philosopher Univ Nitra, Nitra, Slovakia; [Gebremedhn, Samuel; Tesfaye, Dawit] Mekelle Univ, Dept Anim Rangeland &amp; Wildlife Sci, Mekelle, Ethiopia</t>
  </si>
  <si>
    <t>Colorado State University; University of Bonn; Czech Academy of Sciences; Institute of Animal Physiology &amp; Genetics of the Czech Academy of Sciences; Egyptian Knowledge Bank (EKB); Cairo University; Constantine the Philosopher University in Nitra; Mekelle University</t>
  </si>
  <si>
    <t>Tesfaye, D (corresponding author), Colorado State Univ, Dept Biomed Sci, Anim Reprod &amp; Biotechnol Lab, 1351 Rampart Rd, Ft Collins, CO 80525 USA.;Tesfaye, D (corresponding author), Univ Bonn, Inst Anim Sci, Anim Breeding &amp; Husb Grp, Bonn, Germany.;Tesfaye, D (corresponding author), Mekelle Univ, Dept Anim Rangeland &amp; Wildlife Sci, Mekelle, Ethiopia.</t>
  </si>
  <si>
    <t>Dawit.Tesfaye@colostate.edu</t>
  </si>
  <si>
    <t>Laurincik, Jozef/AAC-4489-2020; Gad, Ahmed/M-7273-2013</t>
  </si>
  <si>
    <t>Laurincik, Jozef/0000-0002-7642-9650; Gad, Ahmed/0000-0001-9741-2105; Gebremedhn, Samuel/0000-0002-9977-2347</t>
  </si>
  <si>
    <t>10.1038/s41598-020-72706-z</t>
  </si>
  <si>
    <t>WOS:000577252400055</t>
  </si>
  <si>
    <t>Choudhuri, S; Garg, NJ</t>
  </si>
  <si>
    <t>Choudhuri, Subhadip; Garg, Nisha Jain</t>
  </si>
  <si>
    <t>PARP1-cGAS-NF-kappa B pathway of proinflammatory macrophage activation by extracellular vesicles released during Trypanosoma cruzi infection and Chagas disease</t>
  </si>
  <si>
    <t>PLOS PATHOGENS</t>
  </si>
  <si>
    <t>GENE-EXPRESSION; T-CELLS; POLY(ADP-RIBOSE); INDETERMINATE; PATHOGENESIS; INHIBITION; MONOCYTES; BINDING</t>
  </si>
  <si>
    <t>Author summary Chagas disease, caused by Trypanosoma cruzi (T. cruzi) parasite, is a life-threatening debilitating illness. Tissue inflammation is a hallmark of clinical form of Chagas dilated cardiomyopathy. Recent studies show that cell membranes shed extracellular vesicles (Ev) that carry DNA, proteins, and lipids of host and pathogen origin. In this study, we show that Ev released by T. cruzi, T. cruzi-infected cells and in plasma of Chagas mice (vs. controls) carry parasite and host DNA that is oxidized. When captured by macrophages, the Ev-carried oxidized DNA molecules were recognized by cytosolic DNA sensors cGAS and PARP1, and subsequently, signaled NF-kappa B-mediated proinflammatory cytokine production. Chemical or genetic inhibition of PARP1 resulted in significant decrease in Ev-induced inflammatory response of macrophages and cardiac inflammation in Chagas mice. We propose that chemical inhibitors of PARP1 offer a potential therapeutic target in arresting chronic inflammation in Chagas disease through modulation of the macrophage proinflammatory signaling. Trypanosoma cruzi (T. cruzi) is the etiological agent of Chagas cardiomyopathy. In the present study, we investigated the role of extracellular vesicles (Ev) in shaping the macrophage (M phi) response in progressive Chagas disease (CD). We purified T. cruzi Ev (TcEv) from axenic parasite cultures, and T. cruzi-induced Ev (TEv) from the supernatants of infected cells and plasma of acutely and chronically infected wild-type and Parp1(-/-) mice. Cultured (Raw 264.7) and bone-marrow M phi responded to TcEV and TEv with a profound increase in the expression and release of TNF-alpha, IL-6, and IL-1 beta cytokines. TEv produced by both immune (M phi) and non-immune (muscle) cells were proinflammatory. Chemical inhibition or genetic deletion of PARP1 (a DNA repair enzyme) significantly depressed the TEv-induced transcriptional and translational activation of proinflammatory M phi response. Oxidized DNA encapsulated by TEv was necessary for PARP1-dependent proinflammatory M phi response. Inhibition studies suggested that DNA-sensing innate immune receptors (cGAS&gt;&gt;TLR9) synergized with PARP1 in signaling the NF kappa B activation, and inhibition of PARP1 and cGAS resulted in &gt;80% inhibition of TEv-induced NF kappa B activity. Histochemical studies showed intense inflammatory infiltrate associated with profound increase in CD11b(+)CD68(+)TNF-alpha(+) M phi in the myocardium of CD wild-type mice. In comparison, chronically infected Parp1(-/-) mice exhibited low-to-moderate tissue inflammation, &gt;80% decline in myocardial infiltration of TNF-alpha(+) M phi, and no change in immunoregulatory IL-10(+) M phi. We conclude that oxidized DNA released with TEv signal the PARP1-cGAS-NF-kappa B pathway of proinflammatory M phi activation and worsens the chronic inflammatory pathology in CD. Small molecule antagonists of PARP1-cGAS signaling pathway would potentially be useful in reprogramming the M phi activation and controlling the chronic inflammation in CD.</t>
  </si>
  <si>
    <t>[Choudhuri, Subhadip; Garg, Nisha Jain] Univ Texas Med Branch, Dept Microbiol &amp; Immunol, Galveston, TX 77555 USA; [Garg, Nisha Jain] UTMB, Inst Human Infect &amp; Immun, Galveston, TX 77555 USA</t>
  </si>
  <si>
    <t>University of Texas System; University of Texas Medical Branch Galveston; University of Texas System; University of Texas Medical Branch Galveston</t>
  </si>
  <si>
    <t>Garg, NJ (corresponding author), Univ Texas Med Branch, Dept Microbiol &amp; Immunol, Galveston, TX 77555 USA.;Garg, NJ (corresponding author), UTMB, Inst Human Infect &amp; Immun, Galveston, TX 77555 USA.</t>
  </si>
  <si>
    <t>nigarg@utmb.edu</t>
  </si>
  <si>
    <t>Choudhuri, Subhadip/AAX-5768-2020</t>
  </si>
  <si>
    <t>Choudhuri, Subhadip/0000-0002-0119-1844</t>
  </si>
  <si>
    <t>1553-7366</t>
  </si>
  <si>
    <t>1553-7374</t>
  </si>
  <si>
    <t>e1008474</t>
  </si>
  <si>
    <t>10.1371/journal.ppat.1008474</t>
  </si>
  <si>
    <t>Microbiology; Parasitology; Virology</t>
  </si>
  <si>
    <t>WOS:000531365400038</t>
  </si>
  <si>
    <t>Tang, KD; Wan, YX; Zhang, X; Bozyk, N; Vasani, S; Kenny, L; Punyadeera, C</t>
  </si>
  <si>
    <t>Tang, Kai Dun; Wan, Yunxia; Zhang, Xi; Bozyk, Natalie; Vasani, Sarju; Kenny, Liz; Punyadeera, Chamindie</t>
  </si>
  <si>
    <t>Proteomic Alterations in Salivary Exosomes Derived from Human Papillomavirus-Driven Oropharyngeal Cancer</t>
  </si>
  <si>
    <t>MOLECULAR DIAGNOSIS &amp; THERAPY</t>
  </si>
  <si>
    <t>SQUAMOUS-CELL CARCINOMA; ORAL HPV INFECTION; LIQUID-BIOPSY; UNITED-STATES; 16 E6; HEAD; EXPRESSION; OVEREXPRESSION; PREVALENCE; BIOMARKERS</t>
  </si>
  <si>
    <t>Background Increasing evidence supports the notion that human papillomavirus (HPV) DNA integration onto the human genome can influence and alter the molecular cargo in the exosomes derived from head and neck cancer cells. However, the molecular cargo of salivary exosomes derived from HPV-driven oropharyngeal cancer (HPV-driven OPC) remains unelucidated. Methods and materials Salivary exosomes morphology and molecular characterizations were examined using the nanoparticle tracking (NTA), western blot analysis, transmission electron microscopy (TEM) and mass spectrometry analysis. Results We report that HPV16 DNA was detected (80%) in isolated salivary exosomes of HPV-driven OPC patients. Importantly, we demonstrate elevated protein levels of six main glycolytic enzymes [i.e., aldolase (ALDOA), glyceraldehye-3-phosphate dehydrogenase (GAPDH), lactate dehydrogenase A/B (LDHA and LDHB), phosphoglycerate kinase 1 (PGK1) and pyruvate kinase M1/2 (PKM)] in isolated salivary exosomes of HPV-driven OPC patients, suggesting a novel mechanism underlying the potential role of salivary exosomes in mediating the reciprocal interplay between glucose metabolism and HPV-driven OPC. Conclusion Our data demonstrate the potential diagnostic value of HPV16 DNA and glycolytic enzymes in salivary exosomes in discriminating healthy controls from HPV-driven OPC patients, thereby opening new avenues in the future for clinical translation studies.</t>
  </si>
  <si>
    <t>[Tang, Kai Dun; Wan, Yunxia; Zhang, Xi; Bozyk, Natalie; Punyadeera, Chamindie] Queensland Univ Technol QUT, Sch Biomed Sci, Saliva &amp; Liquid Biopsy Translat Lab, Translat Res Inst, 60 Musk Ave,GPO Box 2434, Brisbane, Qld 4059, Australia; [Vasani, Sarju] Royal Brisbane &amp; Womens Hosp, Dept Otolaryngol, Herston, Qld 4029, Australia; [Kenny, Liz] Univ Queensland, Royal Brisbane &amp; Womens Hosp, Cent Integrated Reg Canc Serv, Sch Med,Queensland Hlth, Brisbane, Qld 4029, Australia</t>
  </si>
  <si>
    <t>Queensland University of Technology (QUT); Royal Brisbane &amp; Women's Hospital; Queensland Health; Royal Brisbane &amp; Women's Hospital; University of Queensland</t>
  </si>
  <si>
    <t>Punyadeera, C (corresponding author), Queensland Univ Technol QUT, Sch Biomed Sci, Saliva &amp; Liquid Biopsy Translat Lab, Translat Res Inst, 60 Musk Ave,GPO Box 2434, Brisbane, Qld 4059, Australia.</t>
  </si>
  <si>
    <t>chamindie.punyadeera@qut.edu.au</t>
  </si>
  <si>
    <t>Punyadeera, Chamindie/0000-0001-9039-8259</t>
  </si>
  <si>
    <t>1177-1062</t>
  </si>
  <si>
    <t>1179-2000</t>
  </si>
  <si>
    <t>10.1007/s40291-021-00538-2</t>
  </si>
  <si>
    <t>Genetics &amp; Heredity; Pharmacology &amp; Pharmacy</t>
  </si>
  <si>
    <t>WOS:000657214600001</t>
  </si>
  <si>
    <t>Shi, MQ; Wang, X; Wu, YA; Yuan, K; Li, ZJ; Meng, HM; Li, ZH</t>
  </si>
  <si>
    <t>Shi, Mingqing; Wang, Xing; Wu, Yanan; Yuan, Kun; Li, Zhijun; Meng, Hong-Min; Li, Zhaohui</t>
  </si>
  <si>
    <t>Exploring the size of DNA functionalized gold nanoparticles for high efficiency exosome uptake and sensitive biosensing</t>
  </si>
  <si>
    <t>Exosomes; AuNPs size; Uptake efficiency; Sensitivity</t>
  </si>
  <si>
    <t>Exosomes are nanoscale lipid vesicles that play important roles in oncogenesis and tumor heterogeneity. Recently, more attentions have been attracted for the analysis of exosomes by using AuNPs-based nanoprobes due to their unique physicochemical properties. In this regard, the geometrical parameters of AuNPs have high impact on the performance for exosome sensing, whereas the related mechanistic studies have not been reported so far. Herein in this work, we symmetrically explored the size influence of DNA functionalized AuNPs on their uptake efficiency by exosomes, and found that the uptake efficiency was highly size-dependent. Based on these interesting discoveries, we developed AuNPs-based nanoprobes for the in-situ detection of miRNA in exosomes. The nanoprobe prepared using 5 nm AuNPs exhibits the highest sensitivity with a detection limit of 6.53 x 10(3) particles/mu L, which is about 2 orders of magnitude lower than that of traditional 13 nm AuNPs. Furthermore, the nanoprobe based on 5 nm AuNPs was successfully used in clinical serum samples to differentiate cancer patients from healthy individuals. All these results advise that DNA-AuNPs can be easily tailored through size modulation to design functional nanoprobe with excellent exosome uptake properties and improved performance in exosome sensing applications.</t>
  </si>
  <si>
    <t>[Shi, Mingqing; Wang, Xing; Wu, Yanan; Yuan, Kun; Li, Zhijun; Meng, Hong-Min; Li, Zhaohui] Zhengzhou Univ, Coll Chem, Inst Analyt Chem Life Sci,Zhengzhou Key Lab Funct, Henan Joint Int Res Lab Green Construct Funct Mol, Zhengzhou 450001, Peoples R China</t>
  </si>
  <si>
    <t>Meng, HM; Li, ZH (corresponding author), Zhengzhou Univ, Coll Chem, Inst Analyt Chem Life Sci,Zhengzhou Key Lab Funct, Henan Joint Int Res Lab Green Construct Funct Mol, Zhengzhou 450001, Peoples R China.</t>
  </si>
  <si>
    <t>10.1016/j.snb.2021.131315</t>
  </si>
  <si>
    <t>WOS:000752497500007</t>
  </si>
  <si>
    <t>Konecna, B; Kovalcikova, AG; Pancikova, A; Novak, B; Kovalova, E; Celec, P; Tothova, L</t>
  </si>
  <si>
    <t>Konecna, Barbora; Kovalcikova, Alexandra Gaal; Pancikova, Alexandra; Novak, Bohuslav; Kovalova, Eva; Celec, Peter; Tothova, Lubomira</t>
  </si>
  <si>
    <t>Salivary Extracellular DNA and DNase Activity in Periodontitis</t>
  </si>
  <si>
    <t>APPLIED SCIENCES-BASEL</t>
  </si>
  <si>
    <t>cell free DNA; salivary biomarkers; gingivitis; oral diseases; apoptotic bodies; deoxyribonucleases</t>
  </si>
  <si>
    <t>PLASMA DNA; BIOMARKERS; EXOSOMES</t>
  </si>
  <si>
    <t>Extracellular DNA (ecDNA) is a potential marker and predictor in several inflammatory diseases. Periodontitis, a chronic inflammatory disease, is associated with epithelial cell death and could lead to release of DNA. Our aim was to analyze salivary DNA concentration and deoxyribonuclease (DNase) activity in periodontitis patients. We hypothesized that salivary ecDNA will be higher than in controls and could serve as a marker of periodontitis severity. Samples of saliva were collected from 25 patients with chronic periodontitis and 29 age-matched controls. DNA was quantified fluorometrically in whole saliva, as well as in supernatants after centrifugation (depletion of cells at 1600x g) and in double-centrifuged supernatants (depletion of cell debris at 1600x g and 16,000x g). The subcellular origin of ecDNA was assessed using real-time PCR. In comparison to controls, patients with periodontitis had twofold higher salivary DNA (p &lt; 0.01), higher mitochondrial DNA in centrifuged supernatants (p &lt; 0.05) and lower nuclear ecDNA in double-centrifuged samples (p &lt; 0.05). No correlations were found between salivary DNA and oral health status, but mitochondrial DNA positively correlated with papillary bleeding index in centrifuged samples. Salivary DNase activity was comparable between the groups. In conclusion, we proved that salivary DNA is higher in periodontitis. The source of the higher mitochondrial DNA in cell-free saliva and the causes of lower nuclear ecDNA remain to be elucidated. Further studies should focus on the role of mitochondrial DNA as a potential driver of inflammation in periodontitis.</t>
  </si>
  <si>
    <t>[Konecna, Barbora; Celec, Peter; Tothova, Lubomira] Comenius Univ, Fac Med, Inst Mol Biomed, Bratislava 81108, Slovakia; [Kovalcikova, Alexandra Gaal] Comenius Univ, Natl Inst Childrens Dis &amp; Fac Med, Dept Pediat, Bratislava 83101, Slovakia; [Pancikova, Alexandra] Univ Edinburgh, Sch Biol Sci, Edinburgh EH9 3FF, Midlothian, Scotland; [Novak, Bohuslav] Comenius Univ, Fac Med, Dept Stomatol &amp; Maxillofacial Surg, Bratislava 81108, Slovakia; [Kovalova, Eva] JA Reiman Hosp Presov, Dept Maxillofacial Surg &amp; Dent Hyg, Presov 08001, Slovakia; [Celec, Peter] Comenius Univ, Fac Med, Inst Pathophysiol, Bratislava 81108, Slovakia; [Celec, Peter] Comenius Univ, Fac Nat Sci, Dept Mol Biol, Bratislava 84104, Slovakia</t>
  </si>
  <si>
    <t>Comenius University Bratislava; Comenius University Bratislava; University of Edinburgh; Comenius University Bratislava; Comenius University Bratislava; Comenius University Bratislava</t>
  </si>
  <si>
    <t>Tothova, L (corresponding author), Comenius Univ, Fac Med, Inst Mol Biomed, Bratislava 81108, Slovakia.</t>
  </si>
  <si>
    <t>basa.konecna@gmail.com; alexandra.kovalcikova114@gmail.com; apancikova@gmail.com; bohuslay.novak@fmed.uniba.sk; kovalova@nextra.sk; petercelec@gmail.com; lubomira.tothova@imbm.sk</t>
  </si>
  <si>
    <t>Celec, Peter/I-7103-2012; Kovalčíková, Alexandra Gaál/O-7043-2019; Konecna, Barbora/Q-4617-2017; Gaál Kovalčíková, Alexandra/AAB-8083-2022; Tothova, Lubomira/AAO-7204-2020</t>
  </si>
  <si>
    <t>Celec, Peter/0000-0001-5883-3580; Konecna, Barbora/0000-0002-5544-1482; Gaál Kovalčíková, Alexandra/0000-0002-6914-7751; Tothova, Lubomira/0000-0001-9162-4916</t>
  </si>
  <si>
    <t>2076-3417</t>
  </si>
  <si>
    <t>10.3390/app10217490</t>
  </si>
  <si>
    <t>Chemistry, Multidisciplinary; Engineering, Multidisciplinary; Materials Science, Multidisciplinary; Physics, Applied</t>
  </si>
  <si>
    <t>Chemistry; Engineering; Materials Science; Physics</t>
  </si>
  <si>
    <t>WOS:000589008800001</t>
  </si>
  <si>
    <t>Huang, L; Wang, DB; Singh, N; Yang, F; Gu, N; Zhang, XE</t>
  </si>
  <si>
    <t>Huang, Lin; Wang, Dian-Bing; Singh, Netrapal; Yang, Fang; Gu, Ning; Zhang, Xian-En</t>
  </si>
  <si>
    <t>A dual-signal amplification platform for sensitive fluorescence biosensing of leukemia-derived exosomes</t>
  </si>
  <si>
    <t>FLOW-CYTOMETRIC ANALYSIS; DIAGNOSIS; APTASENSOR; VESICLES; BIOLOGY; SURFACE</t>
  </si>
  <si>
    <t>Exosomes as nanosized biomarkers hold great potential for the diagnosis of cancer. However, the low concentration of cancer-derived exosomes present in biofluids makes early diagnosis strenuous. Here, we developed a fluorescent biosensing platform, namely a dual signal amplification, for the ultrasensitive detection of leukemia cell-derived exosomes. The protocol consists of three steps: first, leukemia-derived exosomes containing CD63 and nucleolin were captured by anti-CD63 antibody modified magnetic bead conjugates (MB-CD63); then, a DNA primer comprising a nucleolin-recognition aptamer (AS1411) was applied to bind the exosomes which further initiated a rolling circle amplification (RCA) reaction to generate many repeat sequences for hybridization with gold nanoparticle (GNP)-DNA-fluorescent dye (FAM) conjugates (GNP-DNA-FAM); finally, nicking endonuclease (NbBbvCI) assisted target recycling was introduced. As a result, FAM was released from GNP-DNA-FAM conjugates, transformed from the quenching state to the emission state and thus fluorescence signals continuously accumulated. With this dual signal amplification platform, as low as 1 x 10(2) particles per L exosomes could be detected. Furthermore, we have successfully applied this method for the detection of exosomes in spiked serum samples, indicating a promising tool for clinical application.</t>
  </si>
  <si>
    <t>[Huang, Lin; Yang, Fang; Gu, Ning] Southeast Univ, Sch Biol Sci &amp; Med Engn, Nanjing 210096, Jiangsu, Peoples R China; [Wang, Dian-Bing; Singh, Netrapal; Zhang, Xian-En] Chinese Acad Sci, Inst Biophys, Natl Lab Biomacromol, CAS Ctr Excellence Biomacromol, Beijing 100101, Peoples R China; [Singh, Netrapal] Chinese Acad Sci, Shenzhen Inst Adv Technol, Inst Synthet Biol Res, Shenzhen 518055, Peoples R China</t>
  </si>
  <si>
    <t>Southeast University - China; Chinese Academy of Sciences; Institute of Biophysics, CAS; Chinese Academy of Sciences; Shenzhen Institute of Advanced Technology, CAS</t>
  </si>
  <si>
    <t>Gu, N (corresponding author), Southeast Univ, Sch Biol Sci &amp; Med Engn, Nanjing 210096, Jiangsu, Peoples R China.;Zhang, XE (corresponding author), Chinese Acad Sci, Inst Biophys, Natl Lab Biomacromol, CAS Ctr Excellence Biomacromol, Beijing 100101, Peoples R China.</t>
  </si>
  <si>
    <t>guning@seu.edu.cn; zhangxe@ibp.ac.cn</t>
  </si>
  <si>
    <t>Wang, Dian-Bing/AFQ-6894-2022; Singh, Netrapal/AAS-7477-2021; ZHANG, Xian-En/AAJ-5579-2021</t>
  </si>
  <si>
    <t>Wang, Dian-Bing/0000-0001-6225-7010; Singh, Netrapal/0000-0001-6762-1707; huang, lin/0000-0002-8794-7920</t>
  </si>
  <si>
    <t>10.1039/c8nr07720g</t>
  </si>
  <si>
    <t>WOS:000451762800022</t>
  </si>
  <si>
    <t>Keseru, JS; Soltesz, B; Lukacs, J; Marton, E; Szilagyi-Boniz, M; Penyige, A; Poka, R; Nagy, B</t>
  </si>
  <si>
    <t>Keseru, Judit Szilvia; Soltesz, Beata; Lukacs, Janos; Marton, Eva; Szilagyi-Boniz, Melinda; Penyige, Andras; Poka, Robert; Nagy, Balint</t>
  </si>
  <si>
    <t>Detection of cell-free, exosomal and whole blood mitochondrial DNA copy number in plasma or whole blood of patients with serous epithelial ovarian cancer</t>
  </si>
  <si>
    <t>Mitochondrial DNA; Serous ovarian cancer; Cell-free mtDNA; Exosomal mtDNA</t>
  </si>
  <si>
    <t>CIRCULATING DNA; TUMOR; MICROENVIRONMENT; BIOMARKERS</t>
  </si>
  <si>
    <t>Ovarian tumor is one of the leading causes of cancer among women. Patients are diagnosed at an advanced stage, usually. There is a need for new specific and sensitive biomarkers. Mitochondrial DNA copy number change was observed in various cancers. Our aim was to detect mitochondrial DNA copy number in whole blood (wb-mtDNA) and in plasma (cell-free and exosome encapsulated mtDNA) in patients with serous epithelial ovarian tumor. DNA was isolated from EDTA blood and plasma obtained from 24 patients and 24 healthy controls. Exosomes were isolated from cell-free plasma, and exosome encapsulated DNA (exoDNA) was extracted. Quantitative-real-time PCR was performed with Human Mitochondrial DNA (mtDNA) Monitoring Primer Set. Kruskall-Wallis and Mann-Whitney U test were used for data analysis. Wb-mtDNA copy number was significantly different among healthy controls and patients in multiple comparison (p = 0.0090 considering FIGO stage independently, and p = 0.0048 considering early- and late-stage cancers). There was a significant decrease among early-stage, all advanced stage and all cancer patients (FIGO I: 32.5 +/- 8.3, p = 0.0061; FIGO III + IV: 37.2 +/- 13.7 p = 0.0139; FIGO I + III + IV: 35.6 +/- 12.2, p = 0.0017) or FIGO III patients alone (32.8 +/- 5.6, p = 0.00089) compared to healthy controls. We found significant increase in copy number in exosomal mtDNA in cancer patients (236.0 +/- 499.0, p = 0.0155), advanced-stage cancer patients (333.0 +/- 575.0, p = 0.0095), of FIGO III (362.0 +/- 609.2, p = 0.0494), and FIGO IV (304.0 +/- 585.0, p = 0.0393) patients alone but not in samples of FIGO I patients (10.0 +/- 3.5, p = 0.3907). In multiple comparison the increase was significant considering early- and late-stage cancers (p = 0.0253). Cell-free mtDNA copy numbers were not increased significantly. We found the highest copy number of mtDNA in exosomes, followed by plasma and peripheral blood in late-stage cancer patients. We observed significant difference in wb-mtDNA copy number between healthy controls and both early- and late-stage cancer patients.</t>
  </si>
  <si>
    <t>[Keseru, Judit Szilvia; Soltesz, Beata; Marton, Eva; Szilagyi-Boniz, Melinda; Penyige, Andras; Nagy, Balint] Univ Debrecen, Fac Med, Dept Human Genet, Egyet Ter 1, H-4032 Debrecen, Hungary; [Lukacs, Janos; Poka, Robert] Univ Debrecen, Fac Med, Dept Obstet &amp; Gynecol, Debrecen, Hungary</t>
  </si>
  <si>
    <t>University of Debrecen; University of Debrecen</t>
  </si>
  <si>
    <t>Keseru, JS (corresponding author), Univ Debrecen, Fac Med, Dept Human Genet, Egyet Ter 1, H-4032 Debrecen, Hungary.</t>
  </si>
  <si>
    <t>keseru.judit@med.unideb.hu</t>
  </si>
  <si>
    <t>Poka, Robert/ABD-1344-2020</t>
  </si>
  <si>
    <t>Poka, Robert/0000-0003-1836-1579; Nagy, Balint/0000-0002-0295-185X; Szilagyi, Melinda/0000-0002-0316-2553</t>
  </si>
  <si>
    <t>JUN 10</t>
  </si>
  <si>
    <t>10.1016/j.jbiotec.2019.04.015</t>
  </si>
  <si>
    <t>WOS:000466942100010</t>
  </si>
  <si>
    <t>Ishihara, R; Nakajima, T; Uchino, Y; Katagiri, A; Hosokawa, K; Maeda, M; Tomooka, Y; Kikuchi, A</t>
  </si>
  <si>
    <t>Ishihara, Ryo; Nakajima, Tadaaki; Uchino, Yoshitaka; Katagiri, Asuka; Hosokawa, Kazuo; Maeda, Mizuo; Tomooka, Yasuhiro; Kikuchi, Akihiko</t>
  </si>
  <si>
    <t>Rapid and Easy Extracellular Vesicle Detection on a Surface-Functionalized Power-Free Microchip toward Point-of-Care Diagnostics</t>
  </si>
  <si>
    <t>ACS OMEGA</t>
  </si>
  <si>
    <t>MICRORNA DETECTION; PROSTATE-CANCER; IMMUNOASSAY; EXOSOMES; CHIP; BIOMARKERS; SERUM; DNA</t>
  </si>
  <si>
    <t>Extracellular vesicles (EVs) are promising novel cancer biomarkers. However, rapid and easy analysis of EVs is challenging because conventional detection methods require large sample volumes and long detection times. Microchip-based analytical systems have particularly attracted attention for development of point-of-care (POC) diagnostics. Previously, various biomarker detection methods on a portable power-free poly(dimethylsiloxane) (PDMS) microchip using laminar flow-assisted dendritic amplification have been developed. Recently, for easy functionalization, we proposed a microchannel inner surface-functionalized power-free PDMS microchip (SF-PF microchip) utilizing electron beam-induced graft polymerization. In this study, we apply the technique and prepare a novel SF-PF microchip. On the microchip, EVs were successfully detected. The required sample volume was 1.0 mu L, and the total analysis time was 20 min. The microchip can contribute to EV-based POC cancer diagnosis.</t>
  </si>
  <si>
    <t>[Ishihara, Ryo; Uchino, Yoshitaka; Katagiri, Asuka; Kikuchi, Akihiko] Tokyo Univ Sci, Dept Mat Sci &amp; Technol, 6-3-1 Niijuku, Katsushika, Tokyo 1258585, Japan; [Nakajima, Tadaaki; Tomooka, Yasuhiro] Tokyo Univ Sci, Dept Biol Sci &amp; Technol, 6-3-1 Niijuku, Katsushika, Tokyo 1258585, Japan; [Hosokawa, Kazuo; Maeda, Mizuo] RIKEN, Bioengn Lab, 2-1 Hirosawa, Wako, Saitama 3510198, Japan</t>
  </si>
  <si>
    <t>Tokyo University of Science; Tokyo University of Science; RIKEN</t>
  </si>
  <si>
    <t>Ishihara, R (corresponding author), Tokyo Univ Sci, Dept Mat Sci &amp; Technol, 6-3-1 Niijuku, Katsushika, Tokyo 1258585, Japan.</t>
  </si>
  <si>
    <t>r.ishihara@rs.tus.ac.jp</t>
  </si>
  <si>
    <t>Maeda, Mizuo/I-3498-2014; Ishihara, Ryo/G-7722-2016</t>
  </si>
  <si>
    <t>Ishihara, Ryo/0000-0003-4862-4843</t>
  </si>
  <si>
    <t>2470-1343</t>
  </si>
  <si>
    <t>10.1021/acsomega.7b01147</t>
  </si>
  <si>
    <t>WOS:000418744000044</t>
  </si>
  <si>
    <t>Krug, AK; Enderle, D; Karlovich, C; Priewasser, T; Bentink, S; Spiel, A; Brinkmann, K; Emenegger, J; Grimm, DG; Castellanos-Rizaldos, E; Goldman, JW; Sequist, LV; Soria, JC; Camidge, DR; Gadgeel, SM; Wakelee, HA; Raponi, M; Noerholm, M; Skog, J</t>
  </si>
  <si>
    <t>Krug, A. K.; Enderle, D.; Karlovich, C.; Priewasser, T.; Bentink, S.; Spiel, A.; Brinkmann, K.; Emenegger, J.; Grimm, D. G.; Castellanos-Rizaldos, E.; Goldman, J. W.; Sequist, L. V.; Soria, J-C; Camidge, D. R.; Gadgeel, S. M.; Wakelee, H. A.; Raponi, M.; Noerholm, M.; Skog, J.</t>
  </si>
  <si>
    <t>Improved EGFR mutation detection using combined exosomal RNA and circulating tumor DNA in NSCLC patient plasma</t>
  </si>
  <si>
    <t>liquid biopsy; exosomes; ctDNA; exoRNA; NSCLC; EGFR</t>
  </si>
  <si>
    <t>LUNG-CANCER PATIENTS; MICROVESICLES; GEFITINIB; BIOPSIES; GROWTH</t>
  </si>
  <si>
    <t>A major limitation of circulating tumor DNA (ctDNA) for somatic mutation detection has been the low level of ctDNA found in a subset of cancer patients. We investigated whether using a combined isolation of exosomal RNA (exoRNA) and cell-free DNA (cfDNA) could improve blood-based liquid biopsy for EGFR mutation detection in non-small-cell lung cancer (NSCLC) patients. Matched pretreatment tumor and plasma were collected from 84 patients enrolled in TIGER-X (NCT01526928), a phase 1/2 study of rociletinib in mutant EGFR NSCLC patients. The combined isolated exoRNA and cfDNA (exoNA) was analyzed blinded for mutations using a targeted next-generation sequencing panel (EXO1000) and compared with existing data from the same samples using analysis of ctDNA by BEAMing. For exoNA, the sensitivity was 98% for detection of activating EGFR mutations and 90% for EGFR T790M. The corresponding sensitivities for ctDNA by BEAMing were 82% for activating mutations and 84% for T790M. In a subgroup of patients with intrathoracic metastatic disease (M0/M1a; n = 21), the sensitivity increased from 26% to 74% for activating mutations (P = 0.003) and from 19% to 31% for T790M (P = 0.5) when using exoNA for detection. Combining exoRNA and ctDNA increased the sensitivity for EGFR mutation detection in plasma, with the largest improvement seen in the subgroup of M0/M1a disease patients known to have low levels of ctDNA and poses challenges for mutation detection on ctDNA alone. NCT01526928.</t>
  </si>
  <si>
    <t>[Krug, A. K.; Enderle, D.; Priewasser, T.; Bentink, S.; Spiel, A.; Brinkmann, K.; Emenegger, J.; Grimm, D. G.; Noerholm, M.] Exosome Diagnost GmbH, Martinsried, Germany; [Karlovich, C.; Raponi, M.] Clovis Oncol Inc, San Francisco, CA USA; [Castellanos-Rizaldos, E.; Skog, J.] Exosome Diagnost Inc, Waltham, MA USA; [Goldman, J. W.] Univ Calif Los Angeles, Los Angeles, CA USA; [Sequist, L. V.] Massachusetts Gen Hosp, Boston, MA 02114 USA; [Soria, J-C] Inst Gustave Roussy, Villejuif, France; [Soria, J-C] Univ Paris Sud, Paris, France; [Camidge, D. R.] Univ Colorado, Denver, CO 80202 USA; [Gadgeel, S. M.] Karmanos Canc Inst, Detroit, MI USA; [Gadgeel, S. M.] Wayne State Univ, Detroit, MI USA; [Wakelee, H. A.] Stanford Univ, Stanford, CA 94305 USA</t>
  </si>
  <si>
    <t>University of California System; University of California Los Angeles; Harvard University; Massachusetts General Hospital; UNICANCER; Gustave Roussy; UDICE-French Research Universities; Universite Paris Saclay; University of Colorado System; University of Colorado Denver; Barbara Ann Karmanos Cancer Institute; Wayne State University; Stanford University</t>
  </si>
  <si>
    <t>johan@exosomedx.com</t>
  </si>
  <si>
    <t>Camidge, David Ross/AAG-9144-2019; Wakelee, Heather/P-2623-2019; Soria, Jean-Charles/F-3619-2014; Grimm, Dominik/L-9088-2019</t>
  </si>
  <si>
    <t>Grimm, Dominik/0000-0003-2085-4591; Skog, Johan/0000-0002-0926-1691</t>
  </si>
  <si>
    <t>10.1093/annonc/mdx765</t>
  </si>
  <si>
    <t>WOS:000429455000027</t>
  </si>
  <si>
    <t>Wu, D; Kittana, H; Shu, J; Kachman, SD; Cui, J; Ramer-Tait, AE; Zempleni, J</t>
  </si>
  <si>
    <t>Wu, Di; Kittana, Hatem; Shu, Jiang; Kachman, Stephen D.; Cui, Juan; Ramer-Tait, Amanda E.; Zempleni, Janos</t>
  </si>
  <si>
    <t>Dietary Depletion of Milk Exosomes and Their MicroRNA Cargos Elicits a Depletion of miR-200a-3p and Elevated Intestinal Inflammation and Chemokine (C-X-C Motif) Ligand 9 Expression in Mdr1a(-/-) Mice</t>
  </si>
  <si>
    <t>CURRENT DEVELOPMENTS IN NUTRITION</t>
  </si>
  <si>
    <t>CXCL9; exosomes; inflammatory bowel disease; Mdr1a(-/-) mice; microRNA</t>
  </si>
  <si>
    <t>BOVINE-MILK; EXTRACELLULAR VESICLES; BOWEL-DISEASE; GENE-EXPRESSION; MESSENGER-RNA; COLITIS; CELLS; TRANSPORT; RELEVANT; COSTS</t>
  </si>
  <si>
    <t>Background: Exosomes transfer regulatory microRNAs (miRs) from donor cells to recipient cells. Exosomes and miRs originate from both endogenous synthesis and dietary sources such as milk. miR-200a-3p is a negative regulator of the proinflammatory chemokine (C-X-C motif) ligand 9 (CXCL9). Male Mdr1a(-/-) mice spontaneously develop clinical signs of inflammatory bowel disease (IBD). Objectives: We assessed whether dietary depletion of exosomes and miRs alters the severity of IBD in Mdr1a(-/-) mice owing to aberrant regulation of proinflammatory cytokines. Methods: Starting at 5 wk of age, 16 male Mdr1a(-/-) mice were fed either milk exosome- and RNA-sufficient (ERS) or milk exosome- and RNA-depleted (ERD) diets. The ERD diet is characterized by a near-complete depletion of miRs and a 60% loss of exosome bioavailability compared with ERS. Mice were killed when their weight loss exceeded 15% of peak body weight. Severity of IBD was assessed by histopathological evaluation of cecum. Serum cytokine and chemokine concentrations and mRNA and miR tissue expression were analyzed by multiplex ELISAs, RNA-sequencing analysis, and qRT-PCR, respectively. Results: Stromal collapse, gland hyperplasia, and additive microscopic disease scores were (mean +/- SD) 56.7% +/- 23.3%, 23.5% +/- 11.8%, and 29.6% +/- 8.2% lower, respectively, in ceca of ERS mice than of ERD mice (P &lt; 0.05). The serum concentration of CXCL9 was 35.0% +/- 31.0% lower in ERS mice than in ERD mice (P &lt; 0.05). Eighty-seven mRNAs were differentially expressed in the ceca from ERS and ERD mice; 16 of these mRNAs are implicated in immune function. The concentrations of 4 and 1 out of 5 miRs assessed (including miR-200a-3p) were &lt;= 63% lower in livers and ceca, respectively, from ERD mice than from ERS mice. Conclusions: Milk exosome and miR depletion exacerbates cecal inflammation in Mdr1a(-/-) mice.</t>
  </si>
  <si>
    <t>[Wu, Di; Zempleni, Janos] Univ Nebraska, Dept Nutr &amp; Hlth Sci, Lincoln, NE 68583 USA; [Kittana, Hatem; Ramer-Tait, Amanda E.] Univ Nebraska, Dept Food Sci &amp; Technol, Lincoln, NE 68583 USA; [Shu, Jiang; Cui, Juan] Univ Nebraska, Dept Comp Sci &amp; Engn, Lincoln, NE 68588 USA; [Kachman, Stephen D.] Univ Nebraska, Dept Stat, Lincoln, NE USA</t>
  </si>
  <si>
    <t>University of Nebraska System; University of Nebraska Lincoln; University of Nebraska System; University of Nebraska Lincoln; University of Nebraska System; University of Nebraska Lincoln; University of Nebraska System; University of Nebraska Lincoln</t>
  </si>
  <si>
    <t>Zempleni, J (corresponding author), Univ Nebraska, Dept Nutr &amp; Hlth Sci, Lincoln, NE 68583 USA.</t>
  </si>
  <si>
    <t>jzempleni2@unl.edu</t>
  </si>
  <si>
    <t>Shu, Jiang/0000-0001-7677-721X; Ramer-Tait, Amanda/0000-0003-0950-7548; Zempleni, Janos/0000-0001-5492-4661; Kachman, Stephen/0000-0003-0506-513X</t>
  </si>
  <si>
    <t>2475-2991</t>
  </si>
  <si>
    <t>nzz122</t>
  </si>
  <si>
    <t>10.1093/cdn/nzz122</t>
  </si>
  <si>
    <t>WOS:000504327500002</t>
  </si>
  <si>
    <t>Ulz, P; Heitzer, E; Geigl, JB; Speicher, MR</t>
  </si>
  <si>
    <t>Ulz, Peter; Heitzer, Ellen; Geigl, Jochen B.; Speicher, Michael R.</t>
  </si>
  <si>
    <t>Patient monitoring through liquid biopsies using circulating tumor DNA</t>
  </si>
  <si>
    <t>INTERNATIONAL JOURNAL OF CANCER</t>
  </si>
  <si>
    <t>circulating tumor DNA; liquid biopsy; tumor monitoring; tumor evolution models; detection limits</t>
  </si>
  <si>
    <t>COPY NUMBER ALTERATIONS; ACQUIRED-RESISTANCE; PLASMA DNA; CLONAL EVOLUTION; RARE MUTATIONS; CANCER; CELLS; IDENTIFICATION; QUANTIFICATION; AMPLIFICATION</t>
  </si>
  <si>
    <t>Tumors release components such as circulating tumor cells (CTCs), circulating tumor DNA (ctDNA), and tumor-derived extracellular vesicles into the circulation. Multiple studies have demonstrated that molecular information about tumors and metastases can be extracted from these factors, which are therefore frequently referred to as liquid biopsies. Liquid biopsies allow the longitudinal monitoring of tumor genomes non-invasively and may hence ensure that patients receive appropriate treatments that target the molecular features of their disease. Accordingly, the number of studies employing liquid biopsy based assays has been skyrocketing in the last few years. Here, we focus on three important issues, which are of high relevance for monitoring tumor genomes. First, we analyze the relation between the allele frequency of somatic tumor-specific mutations and the tumor fraction within plasma DNA. Second, we ask how well current tumor evolution models correlate with findings in longitudinal liquid biopsy studies. And, finally, as sensitivity is one of the key challenges of mutation detection, we address the challenge of detecting mutations occurring at very low allele frequencies in plasma DNA.</t>
  </si>
  <si>
    <t>[Ulz, Peter; Heitzer, Ellen; Geigl, Jochen B.; Speicher, Michael R.] Med Univ Graz, Inst Human Genet, Harrachgasse 21-8, A-8010 Graz, Austria; [Heitzer, Ellen; Speicher, Michael R.] BioTechMed Graz, Graz, Austria</t>
  </si>
  <si>
    <t>Medical University of Graz</t>
  </si>
  <si>
    <t>Speicher, MR (corresponding author), Med Univ Graz, Inst Human Genet, Harrachgasse 21-8, A-8010 Graz, Austria.</t>
  </si>
  <si>
    <t>michael.speicher@medunigraz.at</t>
  </si>
  <si>
    <t>Speicher, Michael R/B-5362-2013</t>
  </si>
  <si>
    <t>Speicher, Michael R/0000-0003-0105-955X; Geigl, Jochen/0000-0001-9160-0682</t>
  </si>
  <si>
    <t>0020-7136</t>
  </si>
  <si>
    <t>1097-0215</t>
  </si>
  <si>
    <t>10.1002/ijc.30759</t>
  </si>
  <si>
    <t>WOS:000404842200004</t>
  </si>
  <si>
    <t>Solakoglu, O; Steinbach, B; Gotz, W; Heydecke, G; Schwarzenbach, H</t>
  </si>
  <si>
    <t>Solakoglu, Onder; Steinbach, Bettina; Goetz, Werner; Heydecke, Guido; Schwarzenbach, Heidi</t>
  </si>
  <si>
    <t>Characterization of circulating molecules and activities in plasma of patients after allogeneic and autologous intraoral bone grafting procedures: a prospective randomized controlled clinical trial in humans</t>
  </si>
  <si>
    <t>BMC ORAL HEALTH</t>
  </si>
  <si>
    <t>Allogeneic bone grafts; Autologous bone grafts; Cf DNA; microRNAs; Exosome; Caspase; Plasma</t>
  </si>
  <si>
    <t>EXTRACELLULAR VESICLES; TOOTH EXTRACTION; NUCLEIC-ACIDS; DNA; REGENERATION; APOPTOSIS; EXOSOMES; REVEALS</t>
  </si>
  <si>
    <t>Background: The objective was to assess whether intraoral bone augmentation procedures have an impact on the patient's plasma levels of circulating nucleic acids, exosomes, miRNA levels and caspase activities. The null hypothesis was tested, that no significant differences between the two groups will be found. Methods: In this prospective randomized controlled clinical trial 35 systemically healthy non-smoking participants were randomly allocated using sealed envelopes by a blinded clinician not involved in the clinical setting. Plasma samples were collected preoperatively and 3 times postoperatively (immediately, 5 weeks and 4 months postoperatively). The test group consisted of twenty-five patients who received allogeneic bone grafting material and the control group of ten patients who received autologous bone grafts. Levels of cell-free DNA (cfDNA) and microRNAs (miR-21, miR-27a, miR-218) were quantified by real-time PCR, caspase activities and exosome concentrations were determined by ELISA. Results: Statistical evaluation reveled a significantly higher exosome level before surgery (p= 0.013) and the first postsurgical sample (p= 0.017) in the control group compared to the test group. The levels of miR-27a and miR-218 significantly differed between the plasma samples before surgery and after surgery in both groups. The levels of miR-21 only significantly differed between the pre- and postsurgical plasma samples in the test group, but not in the control group. All patients completed the study, no adverse events were recorded. Conclusions: Our data show the diagnostic potential of the plasma levels of miR-27a, miR-218 and miR-21 in detecting changes in bone metabolism after alveolar bone augmentation. Our very promising results indicate that there might be a high diagnostic potential in evaluating the plasma levels of the before mentioned miRNAs in order to detect bone resorption activities before they become clinically relevant.</t>
  </si>
  <si>
    <t>[Solakoglu, Onder; Heydecke, Guido] Univ Med Ctr Hamburg Eppendorf, Ctr Dent &amp; Oral Med, Dent Dept, Martinistr 52, D-20246 Hamburg, Germany; [Solakoglu, Onder] Practice Ltd Periodontol &amp; Implant Dent, Hamburg, Germany; [Steinbach, Bettina; Schwarzenbach, Heidi] Univ Med Ctr Hamburg Eppendorf, Dept Tumor Biol, Hamburg, Germany; [Goetz, Werner] Univ Bonn, Dept Orthodont, Lab Oral Biol Basic Sci, Bonn, Germany</t>
  </si>
  <si>
    <t>University of Hamburg; University Medical Center Hamburg-Eppendorf; University of Hamburg; University Medical Center Hamburg-Eppendorf; University of Bonn</t>
  </si>
  <si>
    <t>Solakoglu, O (corresponding author), Univ Med Ctr Hamburg Eppendorf, Ctr Dent &amp; Oral Med, Dent Dept, Martinistr 52, D-20246 Hamburg, Germany.;Solakoglu, O (corresponding author), Practice Ltd Periodontol &amp; Implant Dent, Hamburg, Germany.</t>
  </si>
  <si>
    <t>o.solakoglu@uke.de</t>
  </si>
  <si>
    <t>1472-6831</t>
  </si>
  <si>
    <t>JAN 30</t>
  </si>
  <si>
    <t>10.1186/s12903-021-02036-7</t>
  </si>
  <si>
    <t>WOS:000748416000001</t>
  </si>
  <si>
    <t>Xiao, WW; Ma, WJ; Wei, SX; Li, QP; Liu, RW; Carney, RP; Yang, K; Lee, J; Nyugen, A; Yoneda, KY; Lam, KS; Li, TH</t>
  </si>
  <si>
    <t>Xiao, Wenwu; Ma, Weijie; Wei, Sixi; Li, Qianping; Liu, Ruiwu; Carney, Randy P.; Yang, Kevin; Lee, Joyce; Nyugen, Alan; Yoneda, Ken Y.; Lam, Kit S.; Li, Tianhong</t>
  </si>
  <si>
    <t>High-affinity peptide ligand LXY30 for targeting 31 integrin in non-small cell lung cancer</t>
  </si>
  <si>
    <t>JOURNAL OF HEMATOLOGY &amp; ONCOLOGY</t>
  </si>
  <si>
    <t>Cancer-targeting peptide; 31 integrin; Non-small cell lung cancer; Exosomes; In vivo imaging; Patient-derived xenograft</t>
  </si>
  <si>
    <t>ALPHA-3-BETA-1; EXPRESSION; IDENTIFICATION; STATISTICS; GEFITINIB; RECEPTOR</t>
  </si>
  <si>
    <t>Background31 integrin is a promising cancer biomarker and drug target. We previously identified a 9-amino-acid cyclic peptide LXY30 for detecting 31 integrin on the surface of live tumor cells. This study was undertaken to characterize LXY30 in the detection, cellular function, imaging, and targeted delivery of in vitro and in vivo non-small cell lung cancer (NSCLC) models.MethodsThe whole-cell binding assay was performed by incubating NSCLC cells, extracellular vesicles (EVs), and peripheral blood mononuclear cells (PBMCs) with TentaGel resin beads coated with LXY30. In this study, we defined the nanosize EVs as exosomes, which were characterized by flow cytometry, transmission electron microscopy, dynamic light scattering, and Western blots. The function of LXY30 was determined by modulating the epidermal growth factor receptor (EGFR) signaling pathway by growth inhibition and Western blots. For in vivo biodistribution, mice bearing subcutaneous and intracranial NSCLC xenograft tumors were administrated intraveneously with LXY30-biotin/streptavidin-Cy5.5 complex and then analyzed for in vivo and ex vivo optical imaging and histopathology.ResultsWe showed that LXY30 specifically and sensitively detected 31 integrin-expressing NSCLC cells and tumor-derived exosomes. Tumor DNA isolated from LXY30-enriched plasma exosomes might be used to detect driver oncogenic mutations in patients with metastatic NSCLC. LXY30 only enriches tumor cells but not neutrophils, macrophages, or monocytes in the malignant pleural effusion of NSCLC patients for detecting genomic alterations by next-generation sequencing. LXY30 detected increased 31 integrin expression on the EGFR-mutant NSCLC cells with acquired resistance to erlotinib compared to parental erlotinib-sensitive EGFR-mutant NSCLC cells. We further showed that LXY30 modulated the EGFR signaling pathway independently from another peptide ligand LXW64 targeting v3 integrin in erlotinib-resistant, EGFR-mutant H1975 cells. Analysis of The Cancer Genome Atlas (TCGA) revealed high 3 integrin expression was associated with poor prognosis in lung squamous cell carcinoma. LXY30-biotin/streptavidin-Cy5.5 complex had higher uptakes in the subcutaneous and intracranial xenografts of various 31 integrin-expressing lung adenocarcinoma and patient-derived lung squamous cell carcinoma xenografts while sparing the surrounding normal tissues.ConclusionLXY30 is a promising peptide for the cancer diagnosis and in vivo targeted delivery of imaging agents and cancer drugs in NSCLC, independent of histology and tumor genotype.</t>
  </si>
  <si>
    <t>[Xiao, Wenwu; Liu, Ruiwu; Nyugen, Alan; Lam, Kit S.] Univ Calif Davis, Dept Biochem &amp; Mol Med, Sacramento, CA 95817 USA; [Ma, Weijie; Wei, Sixi; Li, Qianping; Yang, Kevin; Lam, Kit S.; Li, Tianhong] Univ Calif Davis, Sch Med, Comprehens Canc Ctr, Div Hematol Oncol,Dept Internal Med, 4501 X St,Suite 3016, Sacramento, CA 95817 USA; [Wei, Sixi] Guizhou Med Univ, Dept Biochem, Guiyang, Guizhou, Peoples R China; [Li, Qianping] Shanghai Jiao Tong Univ, Affiliated Peoples Hosp 6, Dept Cardiothorac Surg, 600 Yi Shan Rd, Shanghai 200233, Peoples R China; [Carney, Randy P.] Univ Calif Davis, Dept Biomed Engn, Davis, CA USA; [Yang, Kevin] Univ Penn, Perelman Sch Med, Philadelphia, PA 19104 USA; [Lee, Joyce] Univ Calif Davis Hlth Syst, Dept Pharm, Sacramento, CA 95817 USA; [Yoneda, Ken Y.] Univ Calif Davis, Sch Med, Div Pulm Crit Care &amp; Sleep Med, Sacramento, CA 95817 USA; [Yoneda, Ken Y.; Li, Tianhong] Vet Affairs Northern Calif Hlth Care Syst, Dept Internal Med, Mather, CA USA</t>
  </si>
  <si>
    <t>University of California System; University of California Davis; University of California System; University of California Davis; Guizhou Medical University; Shanghai Jiao Tong University; University of California System; University of California Davis; University of Pennsylvania; University of California System; University of California Davis; University of California System; University of California Davis</t>
  </si>
  <si>
    <t>Lam, KS (corresponding author), Univ Calif Davis, Dept Biochem &amp; Mol Med, Sacramento, CA 95817 USA.;Lam, KS; Li, TH (corresponding author), Univ Calif Davis, Sch Med, Comprehens Canc Ctr, Div Hematol Oncol,Dept Internal Med, 4501 X St,Suite 3016, Sacramento, CA 95817 USA.</t>
  </si>
  <si>
    <t>kslam@ucdavis.edu; thli@ucdavis.edu</t>
  </si>
  <si>
    <t>Carney, Randy/ABB-8530-2020; Ma, Weijie/AAF-1959-2021</t>
  </si>
  <si>
    <t>Carney, Randy/0000-0001-8193-1664; Ma, Weijie/0000-0002-4434-1371</t>
  </si>
  <si>
    <t>1756-8722</t>
  </si>
  <si>
    <t>10.1186/s13045-019-0740-7</t>
  </si>
  <si>
    <t>Oncology; Hematology</t>
  </si>
  <si>
    <t>WOS:000471276700003</t>
  </si>
  <si>
    <t>Yang, ZJ; LaRiviere, MJ; Ko, J; Till, JE; Christensen, T; Yee, SS; Black, TA; Tien, K; Lin, A; Shen, H; Bhagwat, N; Herman, D; Adallah, A; O'Hara, MH; Vollmer, CM; Katona, BW; Stanger, BZ; Issadore, D; Carpenter, EL</t>
  </si>
  <si>
    <t>Yang, Zijian; LaRiviere, Michael J.; Ko, Jina; Till, Jacob E.; Christensen, Theresa; Yee, Stephanie S.; Black, Taylor A.; Tien, Kyle; Lin, Andrew; Shen, Hanfei; Bhagwat, Neha; Herman, Daniel; Adallah, Andrew; O'Hara, Mark H.; Vollmer, Charles M.; Katona, Bryson W.; Stanger, Ben Z.; Issadore, David; Carpenter, Erica L.</t>
  </si>
  <si>
    <t>A Multianalyte Panel Consisting of Extracellular Vesicle miRNAs and mRNAs, cfDNA, and CA19-9 Shows Utility for Diagnosis and Staging of Pancreatic Ductal Adenocarcinoma</t>
  </si>
  <si>
    <t>CIRCULATING TUMOR-CELLS; NEOADJUVANT THERAPY; ADJUVANT THERAPY; LIQUID BIOPSY; FREE DNA; CANCER; EXOSOMES; SURVIVAL; SERUM; RECOMMENDATIONS</t>
  </si>
  <si>
    <t>Purpose: To determine whether a multianalyte liquid biopsy can improve the detection and staging of pancreatic ductal adenocarcinoma (PDAC). Experimental Design: We analyzed plasma from 204 subjects (71 healthy, 44 non-PDAC pancreatic disease, and 89 PDAC) for the following biomarkers: tumor-associated extracellular vesicle miRNA and m RNA isolated on a nanomagnetic platform that we developed and measured by next-generation sequencing or qPCR, circulating cell-free DNA (ccfDNA) concentration measured by qPCR, ccfDNA KRAS G12D/V/R mutations detected by droplet digital PCR, and CA19-9 measured by electrochemiluminescence immunoassay. We applied machine learning to training sets and subsequently evaluated model performance in independent, user-blinded test sets. Results: To identify patients with PDAC versus those without, we generated a classification model using a training set of 47 subjects (20 PDAC and 27 noncancer). When applied to a blinded test set (N = 136), the model achieved an AUC of 0.95 and accuracy of 92%, superior to the best individual biomarker, CA19-9 (89%). We next used a cohort of 20 patients with PDAC to train our model for disease staging and applied it to a blinded test set of 25 patients clinically staged by imaging as metastasis-free, including 9 subsequently determined to have had occult metastasis. Our workflow achieved significantly higher accuracy for disease staging (84%) than imaging alone (accuracy - 64%; P &lt; 0.05). Conclusions: Algorithmically combining blood-based biomarkers may improve PDAC diagnostic accuracy and preoperative identification of nonmetastatic patients best suited for surgery, although larger validation studies are necessary.</t>
  </si>
  <si>
    <t>[Yang, Zijian] Univ Penn, Sch Engn &amp; Appl Sci, Dept Mech Engn &amp; Appl Mech, Philadelphia, PA 19104 USA; [LaRiviere, Michael J.] Univ Penn, Dept Radiat Oncol, Perelman Sch Med, Philadelphia, PA 19104 USA; [Ko, Jina; Lin, Andrew; Shen, Hanfei; Adallah, Andrew; Issadore, David] Univ Penn, Sch Engn &amp; Appl Sci, Dept Bioengn, Philadelphia, PA 19104 USA; [Till, Jacob E.; Christensen, Theresa; Yee, Stephanie S.; Black, Taylor A.; Tien, Kyle; O'Hara, Mark H.; Carpenter, Erica L.] Univ Penn, Dept Med, Perelman Sch Med, Div Hematol Oncol, Philadelphia, PA 19104 USA; [Bhagwat, Neha; Katona, Bryson W.; Stanger, Ben Z.] Univ Penn, Dept Med, Div Gastroenterol, Perelman Sch Med, Philadelphia, PA 19104 USA; [Herman, Daniel] Univ Penn, Dept Pathol &amp; Lab Med, Perelman Sch Med, Philadelphia, PA USA; [Vollmer, Charles M.] Hosp Univ Penn, Dept Surg, Div Gen Surg, 3400 Spruce St, Philadelphia, PA 19104 USA; [Issadore, David] Univ Penn, Sch Engn &amp; Appl Sci, Dept Elect &amp; Syst Engn, Philadelphia, PA 19104 USA</t>
  </si>
  <si>
    <t>University of Pennsylvania; University of Pennsylvania; University of Pennsylvania; University of Pennsylvania; University of Pennsylvania; University of Pennsylvania; University of Pennsylvania; University of Pennsylvania</t>
  </si>
  <si>
    <t>Carpenter, EL (corresponding author), Univ Penn, 8-104 Perelman Ctr Adv Med South Tower, Philadelphia, PA 19104 USA.</t>
  </si>
  <si>
    <t>erical@upenn.edu</t>
  </si>
  <si>
    <t>Yang, Zijian/AAO-9763-2021</t>
  </si>
  <si>
    <t>Till, Jacob/0000-0002-2824-1282; Christensen, Theresa/0000-0002-8928-5174; LaRiviere, Michael/0000-0002-1662-5086</t>
  </si>
  <si>
    <t>10.1158/1078-0432.CCR-19-3313</t>
  </si>
  <si>
    <t>WOS:000546016400021</t>
  </si>
  <si>
    <t>Ma, J; Cao, HX; Rodrigues, RM; Xu, MJ; Ren, TY; He, Y; Hwang, S; Feng, DC; Ren, RX; Yang, PX; Liangpunsakul, S; Sun, J; Gao, B</t>
  </si>
  <si>
    <t>Ma, Jing; Cao, Haixia; Rodrigues, Robim M.; Xu, Mingjiang; Ren, Tianyi; He, Yong; Hwang, Seonghwan; Feng, Dechun; Ren, Ruixue; Yang, Peixin; Liangpunsakul, Suthat; Sun, Jian; Gao, Bin</t>
  </si>
  <si>
    <t>Chronic-plus-binge alcohol intake induces production of proinflammatory mtDNA-enriched extracellular vesicles and steatohepatitis via ASK1/p38MAPK alpha-dependent mechanisms</t>
  </si>
  <si>
    <t>JCI INSIGHT</t>
  </si>
  <si>
    <t>ACTIVATED PROTEIN-KINASE; OXIDIZED MITOCHONDRIAL-DNA; MAP KINASE; STRESS; METALLOTHIONEIN; PROTECTION; PATHWAY; PATHOGENESIS; MEMBER; ROLES</t>
  </si>
  <si>
    <t>Alcohol-associated liver disease is a spectrum of liver disorders with histopathological changes ranging from simple steatosis to steatohepatitis, cirrhosis, and hepatocellular carcinoma. Recent data suggest that chronic-plus-binge ethanol intake induces steatohepatitis by promoting release by hepatocytes of proinflammatory mitochondrial DNA-enriched (mtDNA-enriched) extracellular vesicles (EVs). The aim of the present study was to investigate the role of the stress kinase apoptosis signal-regulating kinase 1 (ASK1) and p38 mitogen-activated protein kinase (p38) in chronic-plus-binge ethanol-induced steatohepatitis and mtDNA-enriched EV release. Microarray analysis revealed the greatest hepatic upregulation of metallothionein 1 and 2 (Mt1/2), which encode 2 of the most potent antioxidant proteins. Genetic deletion of the Mt1 and Mt2 genes aggravated ethanol-induced liver injury, as evidenced by elevation of serum ALT, neutrophil infiltration, oxidative stress, and ASK1/p38 activation in the liver. Inhibition or genetic deletion of Ask1 or p38 ameliorated ethanol-induced liver injury, inflammation, ROS levels, and expression of phagocytic oxidase and ER stress markers in the liver. In addition, inhibition of ASK1 or p38 also attenuated ethanol-induced mtDNA-enriched EV secretion from hepatocytes. Taken together, these findings indicate that induction of hepatic mtDNA-enriched EVs by ethanol is dependent on ASK1 and p38, thereby promoting alcoholic steatohepatitis.</t>
  </si>
  <si>
    <t>[Ma, Jing; Sun, Jian] Southern Med Univ, Nanfang Hosp, Dept Infect Dis, State Key Lab Organ Failure Res, Guangzhou, Peoples R China; [Ma, Jing; Cao, Haixia; Rodrigues, Robim M.; Xu, Mingjiang; Ren, Tianyi; He, Yong; Hwang, Seonghwan; Feng, Dechun; Ren, Ruixue; Gao, Bin] NIAAA, Lab Liver Dis, NIH, 5625 Fishers Lane, Bethesda, MD 20892 USA; [Yang, Peixin] Univ Maryland, Sch Med, Dept Obstet &amp; Gynecol Sci, Baltimore, MD 21201 USA; [Liangpunsakul, Suthat] Indiana Univ Sch Med, Dept Med, Div Gastroenterol &amp; Hepatol, Indianapolis, IN 46202 USA; [Liangpunsakul, Suthat] Indiana Univ Sch Med, Dept Biochem &amp; Mol Biol, Indianapolis, IN 46202 USA; [Liangpunsakul, Suthat] Richard L Roudebush Vet Adm Med Ctr, Indianapolis, IN USA</t>
  </si>
  <si>
    <t>Southern Medical University - China; National Institutes of Health (NIH) - USA; NIH National Institute on Alcohol Abuse &amp; Alcoholism (NIAAA); University System of Maryland; University of Maryland Baltimore; Indiana University System; Indiana University Bloomington; Indiana University System; Indiana University Bloomington; US Department of Veterans Affairs; Veterans Health Administration (VHA); Richard L. Roudebush VA Medical Center</t>
  </si>
  <si>
    <t>Gao, B (corresponding author), NIAAA, Lab Liver Dis, NIH, 5625 Fishers Lane, Bethesda, MD 20892 USA.;Sun, J (corresponding author), Southern Med Univ, Nanfang Hosp, Dept Infect Dis, Guangzhou, Peoples R China.</t>
  </si>
  <si>
    <t>sunjian@fimmu.edu.cn; bgao@mail.nih.gov</t>
  </si>
  <si>
    <t>Rodrigues, Robim/K-1366-2015</t>
  </si>
  <si>
    <t>Rodrigues, Robim/0000-0003-2927-6791</t>
  </si>
  <si>
    <t>2379-3708</t>
  </si>
  <si>
    <t>JUL 23</t>
  </si>
  <si>
    <t>e136496</t>
  </si>
  <si>
    <t>10.1172/jci.insight.136496</t>
  </si>
  <si>
    <t>WOS:000568843900002</t>
  </si>
  <si>
    <t>Rhee, SJ; Kim, H; Lee, Y; Lee, HJ; Park, CHK; Yang, J; Kim, YK; Ahn, YM</t>
  </si>
  <si>
    <t>Rhee, Sang Jin; Kim, Hyeyoung; Lee, Yunna; Lee, Hyun Jeong; Park, C. Hyung Keun; Yang, Jinho; Kim, Yoon-Keun; Ahn, Yong Min</t>
  </si>
  <si>
    <t>The association between serum microbial DNA composition and symptoms of depression and anxiety in mood disorders</t>
  </si>
  <si>
    <t>GUT MICROBIOTA; MEMBRANE-VESICLES; BIPOLAR DISORDER; RATING-SCALE; BACTERIA; SCHIZOPHRENIA; PROFILES</t>
  </si>
  <si>
    <t>There is increasing evidence supporting the association between gut microbiome composition and mood disorders; however, studies on the circulating microbiome are scarce. This study aimed to analyze the association of the serum microbial DNA composition with depressive and anxiety symptoms in patients with mood disorders. The sera of 69 patients with mood disorders, aged from 19 to 60, were analyzed. Bacterial DNA was isolated from extracellular membrane vesicles and, subsequently, amplified and quantified with specific primers for the V3-V4 hypervariable region of the 16S rDNA gene. Sequence reads were clustered into Operational Taxonomic Units and classified using the SILVA database. There were no significant associations between alpha diversity measures and the total Hamilton depression rating scale (HAM-D) or Beck anxiety inventory (BAI) scores. Only the weighted UniFrac distance was associated with the total HAM-D score (F=1.57, p=0.045). The Bacteroidaceae family and Bacteroides genus were negatively associated with the total HAM-D score (beta=-0.016, p &lt; 0.001, q=0.08 and beta=-0.016, p &lt; 0.001, q=0.15, respectively). The Desulfovibrionaceae family and Clostridiales Family XIII were positively associated with the total BAI score (beta=1.8x10(-3), p &lt; 0.001, q=0.04 and beta=1.3x10(-3), p &lt; 0.001, q=0.24, respectively). Further studies with larger sample sizes and longitudinal designs are warranted.</t>
  </si>
  <si>
    <t>[Rhee, Sang Jin; Lee, Yunna; Park, C. Hyung Keun; Ahn, Yong Min] Seoul Natl Univ Hosp, Dept Neuropsychiat, Seoul, South Korea; [Rhee, Sang Jin; Kim, Hyeyoung; Park, C. Hyung Keun; Ahn, Yong Min] Seoul Natl Univ, Dept Psychiat, Coll Med, Seoul, South Korea; [Lee, Hyun Jeong] Natl Canc Ctr, Div Canc Management Policy, Dept Psychiat, Goyang, South Korea; [Yang, Jinho; Kim, Yoon-Keun] MD Healthcare Inc, Seoul, South Korea; [Ahn, Yong Min] Seoul Natl Univ, Inst Human Behav Med, Med Res Ctr, Seoul, South Korea; [Kim, Hyeyoung] Inha Univ Hosp, Dept Psychiat, Incheon, South Korea; [Lee, Yunna] Kosin Univ, Dept Psychiat, Gospel Hosp, Busan, South Korea; [Park, C. Hyung Keun] Asan Med Ctr, Dept Psychiat, Seoul, South Korea</t>
  </si>
  <si>
    <t>Seoul National University (SNU); Seoul National University Hospital; Seoul National University (SNU); National Cancer Center - Korea (NCC); Seoul National University (SNU); Inha University; Inha University Hospital; University of Ulsan; Asan Medical Center</t>
  </si>
  <si>
    <t>Ahn, YM (corresponding author), Seoul Natl Univ Hosp, Dept Neuropsychiat, Seoul, South Korea.;Ahn, YM (corresponding author), Seoul Natl Univ, Dept Psychiat, Coll Med, Seoul, South Korea.;Ahn, YM (corresponding author), Seoul Natl Univ, Inst Human Behav Med, Med Res Ctr, Seoul, South Korea.</t>
  </si>
  <si>
    <t>aym@snu.ac.kr</t>
  </si>
  <si>
    <t>Park, Christopher/L-6074-2017</t>
  </si>
  <si>
    <t>Park, Christopher/0000-0002-2568-1426</t>
  </si>
  <si>
    <t>JUL 7</t>
  </si>
  <si>
    <t>10.1038/s41598-021-93112-z</t>
  </si>
  <si>
    <t>WOS:000674543000002</t>
  </si>
  <si>
    <t>Kim, Y; Shin, S; Lee, KA</t>
  </si>
  <si>
    <t>Kim, Yoonjung; Shin, Saeam; Lee, Kyung-A</t>
  </si>
  <si>
    <t>Exosome-based detection of EGFR T790M in plasma and pleural fluid of prospectively enrolled non-small cell lung cancer patients after first-line tyrosine kinase inhibitor therapy</t>
  </si>
  <si>
    <t>Liquid biopsy; Extracellular vesicles; Circulating tumor DNA; Non-small cell lung cancer; Epidermal growth factor receptor; Tyrosine kinase inhibitors</t>
  </si>
  <si>
    <t>Background: The exosomal nucleic acid (exoNA) from the plasma and pleural fluid can potentially provide means to identify genomic changes in non-small cell lung cancer (NSCLC) patients who develop resistance to targeted epidermal growth factor receptor (EGFR) inhibitor therapy. Methods: We compared the performance of the following tools to detect EGFR mutations in 54 plasma samples and 13 pleural fluid using cfDNA, combined TNA (exoTNA + cfTNA), or total cellular DNA: droplet digital PCR (ddPCR), the Cobas (R) EGFR Mutation Test v2 (Cobas) and NGS with Oncomine Pan-Cancer Cell-Free Assay. Results: All three of these platforms demonstrated 100% specificity in the detection of EGFR mutations in the plasma. In the detection of an activating mutation (exon 19 deletion and L858R), Cobas using cfDNA, ddPCR using combined TNA, and NGS using combined TNA showed a sensitivity of 93, 95.3, and 93.8%, respectively. For T790M mutation detection, the Cobas, ddPCR, and NGS showed a sensitivity of 64.7, 88.2, and 93.3%, respectively. Pleural fluid analysis revealed enrichment of the T790M mutant copies in the exosomes. ddPCR using exoTNA showed higher sensitivity than did total cellular DNA from the pleural fluid. Conclusion: These results demonstrated that combined TNA in the plasma and exoTNA in the pleural fluid can be used to evaluate low-abundant EGFR mutant copies in NSCLC.</t>
  </si>
  <si>
    <t>[Kim, Yoonjung; Shin, Saeam; Lee, Kyung-A] Yonsei Univ, Dept Lab Med, Coll Med, Seoul, South Korea</t>
  </si>
  <si>
    <t>Lee, KA (corresponding author), Yonsei Univ, Dept Lab Med, Coll Med, Seoul, South Korea.</t>
  </si>
  <si>
    <t>Lee, Kyung-A/0000-0001-5320-6705; Kim, Yoonjung/0000-0002-4370-4265; Shin, Saeam/0000-0003-1501-3923</t>
  </si>
  <si>
    <t>10.1186/s12935-021-01761-x</t>
  </si>
  <si>
    <t>WOS:000609505200003</t>
  </si>
  <si>
    <t>Vazquez-Villasenor, I; Smith, CI; Thang, YJR; Heath, PR; Wharton, SB; Blackburn, DJ; Ridger, VC; Simpson, JE</t>
  </si>
  <si>
    <t>Vazquez-Villasenor, Irina; Smith, Cynthia, I; Thang, Yung J. R.; Heath, Paul R.; Wharton, Stephen B.; Blackburn, Daniel J.; Ridger, Victoria C.; Simpson, Julie E.</t>
  </si>
  <si>
    <t>RNA-Seq Profiling of Neutrophil-Derived Microvesicles in Alzheimer's Disease Patients Identifies a miRNA Signature That May Impact Blood-Brain Barrier Integrity</t>
  </si>
  <si>
    <t>Alzheimer's disease; systemic infection; neutrophil; neutrophil-derived microvesicles; miRNA</t>
  </si>
  <si>
    <t>CEREBROSPINAL-FLUID; MOUSE MODEL; BETA; BIOMARKERS; INJURY; DISRUPTION; REGULATOR; DEMENTIA; MUSCLE; CELLS</t>
  </si>
  <si>
    <t>(1) Background: Systemic infection is associated with increased neuroinflammation and accelerated cognitive decline in AD patients. Activated neutrophils produce neutrophil-derived microvesicles (NMV), which are internalised by human brain microvascular endothelial cells and increase their permeability in vitro, suggesting that NMV play a role in blood-brain barrier (BBB) integrity during infection. The current study investigated whether microRNA content of NMV from AD patients is significantly different compared to healthy controls and could impact cerebrovascular integrity. (2) Methods: Neutrophils isolated from peripheral blood samples of five AD and five healthy control donors without systemic infection were stimulated to produce NMV. MicroRNAs isolated from NMV were analysed by RNA-Seq, and online bioinformatic tools were used to identify significantly differentially expressed microRNAs in the NMV. Target and pathway analyses were performed to predict the impact of the candidate microRNAs on vascular integrity. (3) Results: There was no significant difference in either the number of neutrophils (p = 0.309) or the number of NMV (p = 0.3434) isolated from AD donors compared to control. However, 158 microRNAs were significantly dysregulated in AD NMV compared to controls, some of which were associated with BBB dysfunction, including miR-210, miR-20b-5p and miR-126-5p. Pathway analysis revealed numerous significantly affected pathways involved in regulating vascular integrity, including the TGF beta and PDGFB pathways, as well as Hippo, IL-2 and DNA damage signalling. (4) Conclusions: NMV from AD patients contain miRNAs that may alter the integrity of the BBB and represent a novel neutrophil-mediated mechanism for BBB dysfunction in AD and the accelerated cognitive decline seen as a result of a systemic infection.</t>
  </si>
  <si>
    <t>[Vazquez-Villasenor, Irina; Smith, Cynthia, I; Thang, Yung J. R.; Heath, Paul R.; Wharton, Stephen B.; Blackburn, Daniel J.; Simpson, Julie E.] Univ Sheffield, Sheffield Inst Translat Neurosci, Sheffield S10 2HQ, S Yorkshire, England; [Ridger, Victoria C.] Univ Sheffield, Med Sch, Dept Infect Immun &amp; Cardiovasc Dis, Beech Hill Rd, Sheffield S10 2RX, S Yorkshire, England</t>
  </si>
  <si>
    <t>University of Sheffield; University of Sheffield</t>
  </si>
  <si>
    <t>Vazquez-Villasenor, I; Simpson, JE (corresponding author), Univ Sheffield, Sheffield Inst Translat Neurosci, Sheffield S10 2HQ, S Yorkshire, England.</t>
  </si>
  <si>
    <t>i.vazquez@sheffield.ac.uk; isabel_9691@yahoo.com; yjrthang1@sheffield.ac.uk; p.heath@sheffield.ac.uk; s.wharton@sheffield.ac.uk; d.blackburn@sheffield.ac.uk; v.c.ridger@sheffield.ac.uk; julie.simpson@sheffield.ac.uk</t>
  </si>
  <si>
    <t>Ridger, Victoria/GLN-8158-2022</t>
  </si>
  <si>
    <t>Wharton, Stephen B/0000-0003-2785-333X; Heath, Paul/0000-0002-8385-1438; blackburn, daniel/0000-0001-8886-1283</t>
  </si>
  <si>
    <t>10.3390/ijms23115913</t>
  </si>
  <si>
    <t>WOS:000809878500001</t>
  </si>
  <si>
    <t>Nakamura, T; Iwabuchi, Y; Hirayama, S; Narisawa, N; Takenaga, F; Nakao, R; Senpuku, H</t>
  </si>
  <si>
    <t>Nakamura, Tomoyo; Iwabuchi, Yusuke; Hirayama, Satoru; Narisawa, Naoki; Takenaga, Fumio; Nakao, Ryoma; Senpuku, Hidenobu</t>
  </si>
  <si>
    <t>Roles of membrane vesicles from Streptococcus mutans for the induction of antibodies to glucosyltransferase in mucosal immunity</t>
  </si>
  <si>
    <t>MICROBIAL PATHOGENESIS</t>
  </si>
  <si>
    <t>Biofilm; Membrane vesicle; GtfC; Mucosal immunization; PAc</t>
  </si>
  <si>
    <t>SURFACE PROTEIN ANTIGEN; ESCHERICHIA-COLI; PROTECTIVE IMMUNITY; EXTRACELLULAR DNA; TERMINAL DOMAIN; B-CELL; IMMUNOGENICITY; CARIOGENICITY; PURIFICATION; PEPTIDES</t>
  </si>
  <si>
    <t>Glucosyltransferase (Gtf) B and GtfC from Streptococcus mutans are key enzymes for the development of biofilmassociated diseases such as dental caries. Gtfs are involved in membrane vesicles (MVs) and function in the formation of biofilms by initial colonizers such as Streptococcus mitis and Streptococcus oralis on the tooth surface. Therefore, MVs may be important virulence factors and targets for the prevention of biofilm-associated disease. To clarify how GtfB encoded by gtfB and GtfC encoded by gtfC associate with MVs and whether MVs are effective as a mucosal immunogen to induce the production of antibodies against Gtfs, MVs from S. mutans UA159 wildtype (WT), gtfB-, gtfCand gtfB-Cwere extracted from culture supernatants by ultracentrifugation and observed by scanning electron microscopy. Compared with GtfB, GtfC was mainly contained in MVs and regulated the size and aggregation of MVs, and the biofilm formation of S. mutans. The intranasal immunization of BALB/c mice with MVs plus a TLR3 agonist, poly(I-C), was performed 2 or 3 times for 5 weeks, with an interval of 2 or 3 weeks. MVs from all strains caused anti-MV IgA and IgG antibody production. In quality analysis of these antibodies, the IgA and IgG antibodies produced by immunization with MVs from WT and gtfBstrains reacted with Gtfs in the saliva, nasal wash and serum but those produced by immunization with MVs from gtfCand gtfB-Cstrains did not. S. mutans MVs mainly formed by GtfC are an intriguing immunogen for the production of anti-Gtf antibodies in mucosal immunogenicity.</t>
  </si>
  <si>
    <t>[Nakamura, Tomoyo; Narisawa, Naoki; Takenaga, Fumio] Nihon Univ, Coll Bioresource Sci, Dept Food Biosci &amp; Biotechnol, Fujisawa, Kanagawa 2520880, Japan; [Nakamura, Tomoyo; Iwabuchi, Yusuke; Hirayama, Satoru; Nakao, Ryoma; Senpuku, Hidenobu] Natl Inst Infect Dis, Dept Bacteriol, Tokyo 1628640, Japan</t>
  </si>
  <si>
    <t>Nihon University; National Institute of Infectious Diseases (NIID)</t>
  </si>
  <si>
    <t>Senpuku, H (corresponding author), Natl Inst Infect Dis, Dept Bacteriol 1, Shinjuku Ku, 1-23-1 Toyama, Tokyo 1628640, Japan.</t>
  </si>
  <si>
    <t>0882-4010</t>
  </si>
  <si>
    <t>10.1016/j.micpath.2020.104260</t>
  </si>
  <si>
    <t>WOS:000599710800007</t>
  </si>
  <si>
    <t>Ramayanti, O; Verkuijlen, SAWM; Novianti, P; Scheepbouwer, C; Misovic, B; Koppers-Lalic, D; van Weering, J; Beckers, L; Adham, M; Martorelli, D; Middeldorp, JM; Pegtel, DM</t>
  </si>
  <si>
    <t>Ramayanti, Octavia; Verkuijlen, Sandra A. W. M.; Novianti, Putri; Scheepbouwer, Chantal; Misovic, Branislav; Koppers-Lalic, Danijela; van Weering, Jan; Beckers, Lisa; Adham, Marlinda; Martorelli, Debora; Middeldorp, Jaap M.; Pegtel, Dirk Michiel</t>
  </si>
  <si>
    <t>Vesicle-bound EBV-BART13-3p miRNA in circulation distinguishes nasopharyngeal from other head and neck cancer and asymptomatic EBV-infections</t>
  </si>
  <si>
    <t>nasopharyngeal carcinoma; Epstein-Barr virus; noninvasive diagnosis; tumor markers; BART-microRNAs</t>
  </si>
  <si>
    <t>EPSTEIN-BARR-VIRUS; DNA LOAD; CARCINOMA; PLASMA; MICRORNAS; BIOMARKERS; BRUSHINGS; GENES</t>
  </si>
  <si>
    <t>Cell-free microRNA (miRNA) in biofluids released by tumors in either protein or vesicle-bound form, represent promising minimally-invasive cancer biomarkers. However, a highly abundant non-tumor background in human plasma and serum complicates the discovery and detection of tumor-selective circulating miRNAs. We performed small RNA sequencing on serum and plasma RNA from Nasopharyngeal Carcinoma (NPC) patients. Collectively, Epstein Barr virus-encoded miRNAs, more so than endogenous miRNAs, signify presence of NPC. However, RNAseq-based EBV miRNA profiles differ between NPC patients, suggesting inter-tumor heterogeneity or divergent secretory characteristics. We determined with sensitive qRT-PCR assays that EBV miRNAs BART7-3p, BART9-3p and BART13-3p are actively secreted by C666.1 NPC cells bound to extracellular vesicles (EVs) and soluble ribonucleoprotein complexes. Importantly, these miRNAs are expressed in all primary NPC tumor biopsies and readily detected in nasopharyngeal brushings from both early and late-stage NPC patients. Increased levels of BART7-3p, BART9-3p and particularly BART13-3p, distinguish NPC patient sera from healthy controls. Receiver operating characteristic curve analysis using sera from endemic NPC patients, other head and neck cancers and individuals with asymptomatic EBV-infections reveals a superior diagnostic performance of EBV miRNAs over anti-EBNA1 IgA serology and EBV-DNA load (AUC 0.87-0.96 vs 0.86 and 0.66 respectively). The high specificity of circulating EBV-BART13-3p (97%) for NPC detection is in agreement with active secretion from NPC tumor cells. We conclude EV-bound BART13-3p in circulation is a promising, NPC-selective, biomarker that should be considered as part of a screening strategy to identify NPC in endemic regions.</t>
  </si>
  <si>
    <t>[Ramayanti, Octavia; Verkuijlen, Sandra A. W. M.; Novianti, Putri; Beckers, Lisa; Middeldorp, Jaap M.; Pegtel, Dirk Michiel] Vrije Univ Amsterdam, Amsterdam UMC, Canc Ctr Amsterdam, Dept Pathol, De Boelelaan 1117, NL-1081 HV Amsterdam, Netherlands; [Novianti, Putri] Vrije Univ Amsterdam, Amsterdam UMC, Dept Epidemiol &amp; Biostat, Amsterdam, Netherlands; [Scheepbouwer, Chantal; Misovic, Branislav; Koppers-Lalic, Danijela] Vrije Univ Amsterdam, Amsterdam UMC, Dept Neurosurg, Amsterdam, Netherlands; [van Weering, Jan] Vrije Univ Amsterdam, Amsterdam UMC, Ctr Neurogen &amp; Cognit Res, Clin Genet,Neurosci Campus Amsterdam, Amsterdam, Netherlands; [Adham, Marlinda] Univ Indonesia, Dr Cipto Mangunkusumo Hosp, Dept Ear Nose &amp; Throat Surg, Jakarta, Indonesia; [Martorelli, Debora] NCI, Ctr Riferimento Oncol, Aviano, Italy</t>
  </si>
  <si>
    <t>Vrije Universiteit Amsterdam; University of Amsterdam; Vrije Universiteit Amsterdam; University of Amsterdam; Vrije Universiteit Amsterdam; University of Amsterdam; Vrije Universiteit Amsterdam; University of Indonesia; IRCCS Aviano (CRO)</t>
  </si>
  <si>
    <t>Pegtel, DM (corresponding author), Vrije Univ Amsterdam, Amsterdam UMC, Canc Ctr Amsterdam, Dept Pathol, De Boelelaan 1117, NL-1081 HV Amsterdam, Netherlands.</t>
  </si>
  <si>
    <t>d.pegtel@vumc.nl</t>
  </si>
  <si>
    <t>Pegtel, Dirk Michiel/ABD-5481-2021</t>
  </si>
  <si>
    <t>Pegtel, Dirk Michiel/0000-0002-7357-4406; Adham, Marlinda/0000-0003-2461-9628; van Weering, Jan/0000-0001-5259-4945; Koppers-Lalic, Danijela/0000-0002-1050-7521; Middeldorp, Jaap Michiel/0000-0002-0765-4125; Scheepbouwer, Chantal/0000-0003-4243-0095</t>
  </si>
  <si>
    <t>MAY 15</t>
  </si>
  <si>
    <t>10.1002/ijc.31967</t>
  </si>
  <si>
    <t>WOS:000462131100020</t>
  </si>
  <si>
    <t>Lewis, JM; Vyas, AD; Qiu, YQ; Messer, KS; White, R; Heller, MJ</t>
  </si>
  <si>
    <t>Lewis, Jean M.; Vyas, Ankit D.; Qiu, Yuqi; Messer, Karen S.; White, Rebekah; Heller, Michael J.</t>
  </si>
  <si>
    <t>Integrated Analysis of Exosomal Protein Biomarkers on Alternating Current Electrokinetic Chips Enables Rapid Detection of Pancreatic Cancer in Patient Blood</t>
  </si>
  <si>
    <t>exosome; biomarkers; pancreatic cancer; cancer diagnostics; colon cancer; whole blood; glypican-1</t>
  </si>
  <si>
    <t>TUMOR-DERIVED EXOSOMES; EXTRACELLULAR VESICLES; COLORECTAL-CANCER; BREAST-CANCER; GLYPICAN-1; PLASMA; DNA; GROWTH; MICROVESICLES; DIAGNOSIS</t>
  </si>
  <si>
    <t>Pancreatic ductal adenocarcinoma (PDAC) typically has nonspecific symptoms and is often found too late to treat. Because diagnosis of PDAC involves complex, invasive, and expensive procedures, screening populations at increased risk will depend on developing rapid, sensitive, specific, and cost-effective tests. Exosomes, which are nanoscale vesicles shed into blood from tumors, have come into focus as valuable entities for noninvasive liquid biopsy diagnostics. However, rapid capture and analysis of exosomes with their protein and other biomarkers have proven difficult. Here, we present a simple method integrating capture and analysis of exosomes and other extracellular vesicles directly from whole blood, plasma, or serum onto an AC electrokinetic microarray chip. In this process, no pretreatment or dilution of sample is required, nor is it necessary to use capture antibodies or other affinity techniques. Subsequent on-chip immunofluorescence analysis permits specific identification and quantification of target biomarkers within as little as 30 min total time. In this initial validation study, the biomarkers glypican-1 and CD63 were found to reflect the presence of PDAC and thus were used to develop a bivariate model for detecting PDAC. Twenty PDAC patient samples could be distinguished from 11 healthy subjects with 99% sensitivity and 82% specificity. In a smaller group of colon cancer patient samples, elevated glypican-1 was observed for metastatic but not for nonmetastatic disease. The speed and simplicity of ACE exosome capture and on-chip biomarker detection, combined with the ability to use whole blood, will enable seamless sample-to-answer liquid biopsy screening and improve early stage cancer diagnostics.</t>
  </si>
  <si>
    <t>[Lewis, Jean M.; Vyas, Ankit D.; Heller, Michael J.] Univ Calif San Diego, Dept NanoEngn, La Jolla, CA 92093 USA; [Messer, Karen S.; White, Rebekah] Univ Calif San Diego, Moores Canc Ctr, La Jolla, CA 92093 USA; [Qiu, Yuqi; Messer, Karen S.] Univ Calif San Diego, Dept Family Med &amp; Publ Hlth, Div Biostat &amp; Bioinformat, La Jolla, CA 92093 USA; [White, Rebekah] Univ Calif San Diego, Dept Surg, La Jolla, CA 92093 USA; [Heller, Michael J.] OHSU Sch Med, Ctr Early Detect &amp; Res, Portland, OR 97239 USA</t>
  </si>
  <si>
    <t>University of California System; University of California San Diego; University of California System; University of California San Diego; University of California System; University of California San Diego; University of California System; University of California San Diego; Oregon Health &amp; Science University</t>
  </si>
  <si>
    <t>Lewis, JM; Heller, MJ (corresponding author), Univ Calif San Diego, Dept NanoEngn, La Jolla, CA 92093 USA.;Heller, MJ (corresponding author), OHSU Sch Med, Ctr Early Detect &amp; Res, Portland, OR 97239 USA.</t>
  </si>
  <si>
    <t>jeanlewis@ucsd.edu; mheller@ucsd.edu</t>
  </si>
  <si>
    <t>10.1021/acsnano.7b08199</t>
  </si>
  <si>
    <t>WOS:000431088200027</t>
  </si>
  <si>
    <t>Kondratova, VN; Botezatu, IV; Shelepov, VP; Lichtenstein, AV</t>
  </si>
  <si>
    <t>Kondratova, V. N.; Botezatu, I. V.; Shelepov, V. P.; Lichtenstein, A. V.</t>
  </si>
  <si>
    <t>Satellite DNA transcripts in blood plasma as potential markers of tumor growth</t>
  </si>
  <si>
    <t>MOLECULAR BIOLOGY</t>
  </si>
  <si>
    <t>non-coding RNA; satellite repeats; quantitative PCR; blood plasma; tumor growth</t>
  </si>
  <si>
    <t>NUCLEIC-ACIDS; INTRATUMOR HETEROGENEITY; NONCODING RNAS; RT-PCR; EVOLUTION; ISOTACHOPHORESIS; QUANTIFICATION; MICRORNAS; EXOSOMES; REPEATS</t>
  </si>
  <si>
    <t>Recent studies of human and animal tumor tissues revealed a high transcriptional activity of pericentromeric satellite DNA repeats; i.e., they were found to produce up to half of all transcripts in tumor cells, which is many times more than in normal cells. It was also found that the two subtypes of satellite DNA (HSATII and GSATII) are transcribed reciprocally, i.e., HSATII transcripts strongly dominate in tumors, while GSATII transcripts are more abundant in the corresponding normal tissues. Since different RNAs are present in blood plasma, and some of them serve as efficient tumor markers, this study was undertaken to evaluate for the first time satellite HSATII and GSATII RNA levels in the plasma of healthy donors and cancer patients. The RT-PCR protocol designed for this purpose enabled detection of both HSATII and GSATII transcripts. It was shown that HSATII transcripts were more abundant than GSATII RNAs in the plasma of healthy donors, and this relationship was inverse in the plasma of cancer patients; these ratios were exactly opposite to those that exist within normal and tumor cells. Some notions concerning the probable origins of circulating satellite RNAs and their role as potential tumor markers are discussed.</t>
  </si>
  <si>
    <t>[Kondratova, V. N.; Botezatu, I. V.; Shelepov, V. P.; Lichtenstein, A. V.] Russian Acad Med Sci, Inst Carcinogenesis, Blokhin Canc Res Ctr, Moscow 115478, Russia</t>
  </si>
  <si>
    <t>N.N. Blokhin Russian Cancer Research Center; Russian Academy of Medical Sciences</t>
  </si>
  <si>
    <t>Kondratova, VN (corresponding author), Russian Acad Med Sci, Inst Carcinogenesis, Blokhin Canc Res Ctr, Moscow 115478, Russia.</t>
  </si>
  <si>
    <t>alicht@mail.ru</t>
  </si>
  <si>
    <t>Lichtenstein, Anatoly/Q-7721-2019</t>
  </si>
  <si>
    <t>Lichtenstein, Anatoly/0000-0002-0190-5069</t>
  </si>
  <si>
    <t>0026-8933</t>
  </si>
  <si>
    <t>1608-3245</t>
  </si>
  <si>
    <t>10.1134/S0026893314060089</t>
  </si>
  <si>
    <t>WOS:000346489400014</t>
  </si>
  <si>
    <t>Tamura, R; Uemoto, S; Tabata, Y</t>
  </si>
  <si>
    <t>Tamura, Ryo; Uemoto, Shinji; Tabata, Yasuhiko</t>
  </si>
  <si>
    <t>Immunosuppressive effect of mesenchymal stem cell-derived exosomes on a concanavalin A-induced liver injury model</t>
  </si>
  <si>
    <t>INFLAMMATION AND REGENERATION</t>
  </si>
  <si>
    <t>Exosome; Mesenchymal stem cell; Concavanalin-A; Immune-induced liver injury; Nanovesicle; Transplantation</t>
  </si>
  <si>
    <t>STROMAL CELLS; KUPFFER CELLS; EXTRACELLULAR VESICLES; PROGENITOR CELLS; IN-VITRO; TOLERANCE; MECHANISM; REGENERATION; CIRCULATION; DELIVERY</t>
  </si>
  <si>
    <t>Background: This study aimed to evaluate the effect of mesenchymal stem cell (MSC)-derived exosomes on an immune-induced liver injury model. MSCs show a unique function to modulate immune reaction although the molecular mechanisms are still under investigation. Exosomes are a nanoparticle containing microRNA and many ligands and are recognized as important factors secreted from MSC to express their function. This research is undertaken to evaluate the effect of MSC-derived exosome on concanavalin-A (con-A)-induced liver injury. Methods: Exosomes were collected from the supernatant of MSC from the bone marrow of C57B6 mice with ultracentrifugation. The collected exosomes or MSCs were injected intravenously into liver injury mice that had been prepared by the intravenous con-A injection. Liver and serum samples were collected 24 h later to evaluate the macro- and microscopic images, the alanine aminotransferase (ALT), and cytokine messenger RNA (mRNA) expression levels. Phenotypical change of non-parenchymal liver cells was also evaluated by flow cytometry. Liver localization of PKH26 after the injection of PKH26-labeled exosomes or MSCs was observed by microscope. Each result was statistically analyzed with Student's t test. Results: PKH was observed in the liver after PKH-labeled exosomes were injected into mouse, whereas it was only observed in the lung in a mouse group receiving PKH-leveled MSC. There were decreases in ALT, liver necrotic areas, and the extent of apoptosis indicated by the single-stranded DNA index of groups that received multiple injections of MSC-derived exosomes, but an increase in the Ki-67 index. The mRNA expression of anti-inflammatory cytokines was enhanced. The number of Treg was increased among NPCs in a group receiving exosomes multiple times. Conclusions: Suppression of con-A-induced liver injury by injection of exosomes was observed as same extent as MSC. Considering the advantage of exosomes as its non-living nature and dosing adjustability over MSC, exosome will be one alternative of MSC transplantation.</t>
  </si>
  <si>
    <t>[Tamura, Ryo; Uemoto, Shinji] Kyoto Univ, Grad Sch Med, Dept Surg, Kyoto, Japan; [Tamura, Ryo; Tabata, Yasuhiko] Kyoto Univ, Inst Frontier Med Sci, Dept Biomat, Field Tissue Engn, Kyoto, Japan</t>
  </si>
  <si>
    <t>Kyoto University; Kyoto University</t>
  </si>
  <si>
    <t>Tabata, Y (corresponding author), Kyoto Univ, Inst Frontier Med Sci, Dept Biomat, Field Tissue Engn, Kyoto, Japan.</t>
  </si>
  <si>
    <t>yasuhiko@frontier.kyoto-u.ac.jp</t>
  </si>
  <si>
    <t>1880-8190</t>
  </si>
  <si>
    <t>10.1186/s41232-016-0030-5</t>
  </si>
  <si>
    <t>Immunology; Medicine, Research &amp; Experimental</t>
  </si>
  <si>
    <t>Immunology; Research &amp; Experimental Medicine</t>
  </si>
  <si>
    <t>WOS:000449587700026</t>
  </si>
  <si>
    <t>Wieckowski, EU; Visus, C; Szajnik, M; Szczepanski, MJ; Storkus, WJ; Whiteside, TL</t>
  </si>
  <si>
    <t>Wieckowski, Eva U.; Visus, Carmen; Szajnik, Marta; Szczepanski, Miroslaw J.; Storkus, Walter J.; Whiteside, Theresa L.</t>
  </si>
  <si>
    <t>Tumor-Derived Microvesicles Promote Regulatory T Cell Expansion and Induce Apoptosis in Tumor-Reactive Activated CD8(+) T Lymphocytes</t>
  </si>
  <si>
    <t>JOURNAL OF IMMUNOLOGY</t>
  </si>
  <si>
    <t>FAS LIGAND; PROTEOMIC ANALYSIS; RELEASED MICROVESICLES; IMMUNE SUPPRESSION; MEMBRANE-VESICLES; EXOSOMES; CANCER; HEAD; NECK; CARCINOMA</t>
  </si>
  <si>
    <t>Sera of patients with cancer contain membraneous microvesicles (MV) able to induce apoptosis of activated T cells by activating the Fas/Fas ligand pathway. However, the cellular origin of MV found in cancer patients' sera varies as do their molecular and cellular profiles. To distinguish tumor-derived MV in cancer patients' sera, we used MAGE 3/6(+) present in tumors and MV. Molecular profiles of MAGE 3/6(+) MV were compared in Western blots or by flow cytometry with those of MV secreted by dendritic cells or activated T cells. These profiles were found to be distinct for each cell type. Only tumor-derived MV were MAGE 3/6(+) and were variably enriched in 42-kDa Fas ligand and MHC class I but not class H molecules. Effects of MV on signaling via the TCR and IL-2R and proliferation or apoptosis of activated primary T cells and T cell subsets were also assessed. Functions of activated CD8(+) and CD4(+) T lymphocytes were differentially modulated by tumor-derived MV. These MV inhibited signaling and proliferation of activated CD8(+) but not CD4(+) T cells and induced apoptosis of CD8(+) T cells, including tumor-reactive, tetramer(+)CD8(+) T cells as detected by flow cytometry for caspase activation and annexin V binding or by DNA fragmentation. Tumor-derived but not dendritic cell-derived MV induced the in vitro expansion of CD4(+)CD25(+)FOXP3(+) T regulatory cells and enhanced their suppressor activity. The data suggest that tumor-derived MV induce immune suppression by promoting T regulatory cell expansion and the demise of antitumor CD8(+) effector T cells, thus contributing to tumor escape. The Journal of Immunology, 2009,183: 3720-3730.</t>
  </si>
  <si>
    <t>[Whiteside, Theresa L.] Univ Pittsburgh, Canc Inst Res Pavil, Hillman Canc Ctr, Sch Med,Dept Pathol, Pittsburgh, PA 15213 USA; [Storkus, Walter J.] Univ Pittsburgh, Sch Med, Dept Dermatol, Pittsburgh, PA 15213 USA; [Wieckowski, Eva U.; Visus, Carmen; Szajnik, Marta; Szczepanski, Miroslaw J.; Storkus, Walter J.; Whiteside, Theresa L.] Univ Pittsburgh, Inst Canc, Pittsburgh, PA 15213 USA</t>
  </si>
  <si>
    <t>Whiteside, TL (corresponding author), Univ Pittsburgh, Canc Inst Res Pavil, Hillman Canc Ctr, Sch Med,Dept Pathol, 5117 Ctr Ave,Suite 1-27D, Pittsburgh, PA 15213 USA.</t>
  </si>
  <si>
    <t>whitesidet1@upmc.edu</t>
  </si>
  <si>
    <t>Storkus, Walter/0000-0001-8961-4444</t>
  </si>
  <si>
    <t>0022-1767</t>
  </si>
  <si>
    <t>1550-6606</t>
  </si>
  <si>
    <t>10.4049/jimmunol.0900970</t>
  </si>
  <si>
    <t>WOS:000270179700023</t>
  </si>
  <si>
    <t>Ronquist, KG; Ronquist, G; Carlsson, L; Larsson, A</t>
  </si>
  <si>
    <t>Ronquist, K. Goran; Ronquist, Gunnar; Carlsson, Lena; Larsson, Anders</t>
  </si>
  <si>
    <t>Human Prostasomes Contain Chromosomal DNA</t>
  </si>
  <si>
    <t>prostasomes; PC-3-cells; DNA vehicles; gene therapy; microvesicles</t>
  </si>
  <si>
    <t>CA2&amp;-STIMULATED ADENOSINE-TRIPHOSPHATASE; EXTRACELLULAR ORGANELLES PROSTASOMES; HUMAN PROSTATIC FLUID; HUMAN SEMINAL PLASMA; HORIZONTAL TRANSFER; HUMAN SEMEN; MESSENGER-RNA; SPERM CELLS; SPERMATOZOA; DELIVERY</t>
  </si>
  <si>
    <t>BACKGROUND. The aim of this study was to perform a comprehensive evaluation of the occurrence of DNA in human prostasomes. METHODS. Prostasomes were purified from seminal fluid (seminal prostasomes) and from PC-3-cells (PC-3 cell prostasomes). DNA extracted from both sources of prostasomes was visualized on agarose gels. Further, the DNA was cloned and sequenced (13 clones from seminal prostasomal DNA and 16 clones from PC-3 cell prostasomal DNA) and identified by alignment in the BLAST-nucleotide search database. In order to decide if the DNA was internally or externally located in/on prostasomes, prostasomes were treated with nuclease (DNase) and A(260) was measured before and after treatment. Additionally, flow cytometric studies were performed with membrane permeable and membrane impermeable DNA stains. RESULTS. We identified human chromosomal DNA in purified prostasomes from both sources and treatment with DNase demonstrated that the prostasome-shielded DNA was protected from enzyme attack. Membrane-permeable DNA stain raised the fluorescence contrary to membrane-impermeable stain. Clearly discernible nucleic acid of prostasomes was separated on 1% agarose gel yielding DNA fragments of about 13 kbp and below with a marked band at about 1 kbp. Cloning and sequencing of 13 fragments from seminal prostasomes and 16 from PC-3 cell prostasomes revealed a chromosomal origin of the DNA. In purified seminal prostasomes, 4 out of 13 DNA clones featured gene sequences (31%). The corresponding figure for PC3-derived prostasomes was 4 out of 16 clones featuring gene sequences (25%). CONCLUSION. Human prostasomes contain chromosomal DNA. Both nuclease treatment and differential DNA stainings indicated an inside location of the prostasomal DNA. Our findings suggest a DNA-delivery function of prostasomes to sperm cells. Prostate 69: 737-743, 2009. (C) 2009 Wiley-Liss, Inc.</t>
  </si>
  <si>
    <t>[Ronquist, K. Goran; Ronquist, Gunnar; Carlsson, Lena; Larsson, Anders] Univ Uppsala Hosp, Dept Med Sci, SE-75185 Uppsala, Sweden</t>
  </si>
  <si>
    <t>Uppsala University; Uppsala University Hospital</t>
  </si>
  <si>
    <t>Larsson, A (corresponding author), Univ Uppsala Hosp, Dept Med Sci, SE-75185 Uppsala, Sweden.</t>
  </si>
  <si>
    <t>anders.larsson@akademiska.se</t>
  </si>
  <si>
    <t>Ronquist, Goran/0000-0001-5885-8067</t>
  </si>
  <si>
    <t>10.1002/pros.20921</t>
  </si>
  <si>
    <t>WOS:000265727700006</t>
  </si>
  <si>
    <t>Pilsczek, FH; Salina, D; Poon, KKH; Fahey, C; Yipp, BG; Sibley, CD; Robbins, SM; Green, FHY; Surette, MG; Sugai, M; Bowden, MG; Hussain, M; Zhang, KY; Kubes, P</t>
  </si>
  <si>
    <t>Pilsczek, Florian H.; Salina, Davide; Poon, Karen K. H.; Fahey, Candace; Yipp, Bryan G.; Sibley, Christopher D.; Robbins, Stephen M.; Green, Francis H. Y.; Surette, Mike G.; Sugai, Motoyuki; Bowden, M. Gabriela; Hussain, Muzaffar; Zhang, Kunyan; Kubes, Paul</t>
  </si>
  <si>
    <t>A Novel Mechanism of Rapid Nuclear Neutrophil Extracellular Trap Formation in Response to Staphylococcus aureus</t>
  </si>
  <si>
    <t>GROUP-A STREPTOCOCCUS; HUMAN POLYMORPHONUCLEAR LEUKOCYTES; MITOCHONDRIAL-DNA; IMMUNE EVASION; ENVELOPE; CONTRIBUTES; INFECTION; PATHOGENESIS; EXPRESSION; APOPTOSIS</t>
  </si>
  <si>
    <t>Neutrophil extracellular traps (NETs) are webs of DNA covered with antimicrobial molecules that constitute a newly described killing mechanism in innate immune defense. Previous publications reported that NETs take up to 3-4 h to form via an oxidant-dependent event that requires lytic death of neutrophils. In this study, we describe neutrophils responding uniquely to Staphylococcus aureus via a novel process of NET formation that did not require neutrophil lysis or even breach of the plasma membrane. The multilobular nucleus rapidly became rounded and condensed. During this process, we observed the separation of the inner and outer nuclear membranes and budding of vesicles, and the separated membranes and vesicles were filled with nuclear DNA. The vesicles were extruded intact into the extracellular space where they ruptured, and the chromatin was released. This entire process occurred via a unique, very rapid (5-60 min), oxidant-independent mechanism. Mitochondrial DNA constituted very little if any of these NETs. They did have a limited amount of proteolytic activity and were able to kill S. aureus. With time, the nuclear envelope ruptured, and DNA filled the cytoplasm presumably for later lytic NET production, but this was distinct from the vesicular release mechanism. Panton-Valentine leukocidin, autolysin, and a lipase were identified in supernatants with NET-inducing activity, but Panton-Valentine leukocidin was the dominant NET inducer. We describe a new mechanism of NET release that is very rapid and contributes to trapping and killing of S. aureus. The Journal of Immunology, 2010, 185: 7413-7425.</t>
  </si>
  <si>
    <t>[Kubes, Paul] Univ Calgary, Immunol Res Grp, Dept Physiol &amp; Biophys, Calgary, AB T2N 4N1, Canada; [Pilsczek, Florian H.; Salina, Davide; Poon, Karen K. H.; Fahey, Candace; Yipp, Bryan G.; Sibley, Christopher D.; Green, Francis H. Y.; Surette, Mike G.; Kubes, Paul] Hiroshima Univ, Snyder Inst Infect Immun &amp; Inflammat, Hiroshima, Japan; [Salina, Davide; Green, Francis H. Y.; Zhang, Kunyan] Hiroshima Univ, Dept Pathol &amp; Lab Med, Hiroshima, Japan; [Sibley, Christopher D.; Surette, Mike G.; Zhang, Kunyan] Hiroshima Univ, Dept Microbiol &amp; Infect Dis, Hiroshima, Japan; [Robbins, Stephen M.] Hiroshima Univ, Dept Oncol &amp; Biochem &amp; Mol Biol, Hiroshima, Japan; [Sugai, Motoyuki] Hiroshima Univ, Dept Bacteriol, Hiroshima, Japan; [Bowden, M. Gabriela] Texas A&amp;M Univ Syst Hlth Sci Ctr, Ctr Extracellular Matrix Biol, Houston, TX 77030 USA; [Hussain, Muzaffar] Univ Hosp, Inst Med Microbiol, Munster, Germany</t>
  </si>
  <si>
    <t>University of Calgary; Hiroshima University; Hiroshima University; Hiroshima University; Hiroshima University; Hiroshima University; Texas A&amp;M University System; Texas A&amp;M University College Station; Texas A&amp;M Health Science Center; University of Munster</t>
  </si>
  <si>
    <t>Kubes, P (corresponding author), Univ Calgary, Immunol Res Grp, Dept Physiol &amp; Biophys, 3280 Hosp Dr NW, Calgary, AB T2N 4N1, Canada.</t>
  </si>
  <si>
    <t>pkubes@ucalgary.ca</t>
  </si>
  <si>
    <t>Surette, Michael/AAE-8825-2020</t>
  </si>
  <si>
    <t>Robbins, Stephen/0000-0001-7475-1665; Yipp, Bryan/0000-0002-5887-9551</t>
  </si>
  <si>
    <t>DEC 15</t>
  </si>
  <si>
    <t>10.4049/jimmunol.1000675</t>
  </si>
  <si>
    <t>WOS:000284878700038</t>
  </si>
  <si>
    <t>Wu, M; Chen, ZK; Xie, QH; Xiao, BL; Zhou, G; Chen, G; Bian, Z</t>
  </si>
  <si>
    <t>Wu, Min; Chen, Zhuokun; Xie, Qihui; Xiao, Bolin; Zhou, Gang; Chen, Gang; Bian, Zhuan</t>
  </si>
  <si>
    <t>One-step quantification of salivary exosomes based on combined aptamer recognition and quantum dot signal amplification</t>
  </si>
  <si>
    <t>Exosome; Aptamer; Quantum dot; Fluorescent biosensor</t>
  </si>
  <si>
    <t>SECRETION; LIGHT</t>
  </si>
  <si>
    <t>As promising fluid biomarkers for non-invasive diagnosis, naturally-occurring exosomes in saliva have attracted a wide interest for their potential application in oral diseases especially oral cancers. However, accurate quantification of salivary exosomes is still challenging due to the current difficulties in simultaneous identification and measurement of these nano-sized vesicles. In this study, we developed a novel fluorescent biosensor for onestep sensitive quantification of salivary exosomes based on magnetic and fluorescent bio-probes (MFBPs). Within the MFBPs, self-assembled DNA concatamers loaded with numerous quantum dots (QDs) were ingeniously tethered to aptamers, which were anchored on the surface of magnetic microspheres (MMs). Efficient recognition and capture of an exosome by the aptamer would simultaneously trigger the release of a DNA concatamer as the detection signal carrier, thereby generating a one exosome-numerous QDs amplification effect. As the result, this biosensor allowed one-step quantification with less assay time and achieved a high sensitivity with low limit of detection. Moreover, unique fluorescent properties of QDs and the superparamagnetism of MMs offered a strong anti-interference ability, enabling a robust quantification in complex matrices. Furthermore, this biosensor exhibited a good clinical feasibility with favorable accuracy comparable to nanoscale flow cytometry, and a superiority in label-free analysis and convenient operation. This study provides a novel and general strategy for one-step sensitive quantification of exosomes from body fluids, facilitating the development of exosome-based liquid biopsy for disease diagnosis.</t>
  </si>
  <si>
    <t>[Wu, Min; Chen, Zhuokun; Xie, Qihui; Xiao, Bolin; Zhou, Gang; Chen, Gang; Bian, Zhuan] Wuhan Univ, Sch &amp; Hosp Stomatol, State Key Lab Breeding Base Basic Sci Stomatol Hu, Wuhan 430079, Peoples R China; [Wu, Min; Chen, Zhuokun; Xie, Qihui; Xiao, Bolin; Zhou, Gang; Chen, Gang; Bian, Zhuan] Wuhan Univ, Sch &amp; Hosp Stomatol, Key Lab Oral Biomed, Minist Educ, Wuhan 430079, Peoples R China; [Zhou, Gang] Wuhan Univ, Sch &amp; Hosp Stomatol, Dept Oral Med, Wuhan 430079, Peoples R China; [Chen, Gang] Wuhan Univ, Sch &amp; Hosp Stomatol, Dept Oral &amp; Maxillofacial Surg, Wuhan 430079, Peoples R China</t>
  </si>
  <si>
    <t>Bian, Z (corresponding author), Wuhan Univ, Sch &amp; Hosp Stomatol, State Key Lab Breeding Base Basic Sci Stomatol Hu, Wuhan 430079, Peoples R China.;Bian, Z (corresponding author), Wuhan Univ, Sch &amp; Hosp Stomatol, Key Lab Oral Biomed, Minist Educ, Wuhan 430079, Peoples R China.</t>
  </si>
  <si>
    <t>bianzhuan@whu.edu.cn</t>
  </si>
  <si>
    <t>10.1016/j.bios.2020.112733</t>
  </si>
  <si>
    <t>WOS:000603553700003</t>
  </si>
  <si>
    <t>Cao, Y; Li, LL; Han, B; Wang, Y; Dai, YH; Zhao, J</t>
  </si>
  <si>
    <t>Cao, Ya; Li, Lingling; Han, Bing; Wang, Ying; Dai, Yuhao; Zhao, Jing</t>
  </si>
  <si>
    <t>A catalytic molecule machine-driven biosensing method for amplified electrochemical detection of exosomes</t>
  </si>
  <si>
    <t>Cascaded toehold-mediated strand displacement reaction; Catalytic molecule machine; Exosome detection; CD63; Click chemistry</t>
  </si>
  <si>
    <t>ISOTHERMAL AMPLIFICATION; ENZYME-FREE; MICRORNA; BIOLOGY</t>
  </si>
  <si>
    <t>Nowadays, exosomes that carry abundant information have attracted increasing attention as potent biomarkers of liquid biopsy and ideal candidates for early diagnosis and treatment of cancers. In this work, we propose a principle-of-proof biosensing method for amplified electrochemical detection of exosomes by using HepG2-derived exosomes as models. Specifically, target exosomes are enriched on anti-CD63-functionalized immunobeads and then recognized by a DNA chain containing CD63 aptamer region, which subsequently initiates a catalytic molecule machine that relies on cascade toehold-mediated strand displacement reaction. Benefiting from high efficiency of the molecule machine, the method shows a linear range from 1 x 10(5) to 5 x 10(7) particles/mL and a detection limit of 1.72 x 10(4) particles/mL toward target exosomes, better than most existing detection methods. Moreover, the method demonstrates a high specificity even in serum samples and suggests a potential use in clinic, which may provide sufficient information for disease diagnosis, especially early detection and prognosis monitoring of tumors.</t>
  </si>
  <si>
    <t>[Cao, Ya; Li, Lingling; Han, Bing; Wang, Ying; Dai, Yuhao; Zhao, Jing] Shanghai Univ, Ctr Mol Recognit &amp; Biosensing, Sch Life Sci, Shanghai 200444, Peoples R China; [Li, Lingling] Shanghai Univ, Shanghai Key Lab Bioenergy Crops, Shanghai 200444, Peoples R China</t>
  </si>
  <si>
    <t>Shanghai University; Shanghai University</t>
  </si>
  <si>
    <t>Zhao, J (corresponding author), Shanghai Univ, Ctr Mol Recognit &amp; Biosensing, Sch Life Sci, Shanghai 200444, Peoples R China.</t>
  </si>
  <si>
    <t>jingzhao@shu.edu.cn</t>
  </si>
  <si>
    <t>10.1016/j.bios.2019.111397</t>
  </si>
  <si>
    <t>WOS:000486132800023</t>
  </si>
  <si>
    <t>Harshyne, LA; Hooper, KM; Andrews, EG; Nasca, BJ; Kenyon, LC; Andrews, DW; Hooper, DC</t>
  </si>
  <si>
    <t>Harshyne, Larry A.; Hooper, Kirsten M.; Andrews, Edward G.; Nasca, Brian J.; Kenyon, Lawrence C.; Andrews, David W.; Hooper, D. Craig</t>
  </si>
  <si>
    <t>Glioblastoma exosomes and IGF-1R/AS-ODN are immunogenic stimuli in a translational research immunotherapy paradigm</t>
  </si>
  <si>
    <t>Antisense; Exosome; Antibody; Diffusion chamber; GL261; Glioblastoma</t>
  </si>
  <si>
    <t>CELL-DERIVED EXOSOMES; FACTOR-I RECEPTOR; BACTERIAL-DNA; TUMOR; GROWTH; MICROVESICLES; OLIGODEOXYNUCLEOTIDES; INTERLEUKIN-5; BIOGENESIS; PROTEINS</t>
  </si>
  <si>
    <t>Glioblastomas are primary intracranial tumors for which there is no cure. Patients receiving standard of care, chemotherapy and irradiation, survive approximately 15 months prompting studies of alternative therapies including vaccination. In a pilot study, a vaccine consisting of Lucite diffusion chambers containing irradiated autologous tumor cells pre-treated with an antisense oligodeoxynucleotide (AS-ODN) directed against the insulin-like growth factor type 1 receptor was found to elicit positive clinical responses in 8/12 patients when implanted in the rectus sheath for 24 h. Our preliminary observations supported an immune response, and we have since reopened a second Phase 1 trial to assess this possibility among other exploratory objectives. The current study makes use of a murine glioma model and samples from glioblastoma patients in this second Phase 1 trial to investigate this novel therapeutic intervention more thoroughly. Implantation of the chamber-based vaccine protected mice from tumor challenge, and we posit this occurred through the release of immunostimulatory AS-ODN and antigen-bearing exosomes. Exosomes secreted by glioblastoma cultures are immunogenic, eliciting and binding antibodies present in the sera of immunized mice. Similarly, exosomes released by human glioblastoma cells bear antigens recognized by the sera of 6/12 patients with recurrent glioblastomas. These results suggest that the release of AS-ODN together with selective release of exosomes from glioblastoma cells implanted in chambers may drive the therapeutic effect seen in the pilot vaccine trial.</t>
  </si>
  <si>
    <t>[Harshyne, Larry A.; Hooper, Kirsten M.; Andrews, Edward G.; Nasca, Brian J.; Andrews, David W.; Hooper, D. Craig] Thomas Jefferson Univ, Dept Neurol Surg, Philadelphia, PA 19107 USA; [Kenyon, Lawrence C.] Thomas Jefferson Univ, Dept Pathol, Philadelphia, PA 19107 USA; [Hooper, D. Craig] Thomas Jefferson Univ, Dept Canc Biol, Philadelphia, PA 19107 USA</t>
  </si>
  <si>
    <t>Jefferson University; Jefferson University; Jefferson University</t>
  </si>
  <si>
    <t>Harshyne, LA (corresponding author), Thomas Jefferson Univ, Dept Neurol Surg, 1020 Locust St,Rm 454, Philadelphia, PA 19107 USA.</t>
  </si>
  <si>
    <t>larry.harshyne@jefferson.edu</t>
  </si>
  <si>
    <t>Hooper, Douglas/0000-0002-8578-5104; Kenyon, Lawrence/0000-0002-3719-9565</t>
  </si>
  <si>
    <t>10.1007/s00262-014-1622-z</t>
  </si>
  <si>
    <t>WOS:000350351200004</t>
  </si>
  <si>
    <t>Wang, FF; Zhang, Y; Chen, DS; Zhang, ZQ; Li, ZP</t>
  </si>
  <si>
    <t>Wang, Fangfang; Zhang, Yi; Chen, Desheng; Zhang, Zhuoqi; Li, Zhengping</t>
  </si>
  <si>
    <t>Ultrasensitive detection of tumor-specific exosomal proteins by a Single Microbead-based Aptasensor coupled with Terminal deoxynucleotidyl transferase-initiated DNA amplification (SMAT)</t>
  </si>
  <si>
    <t>Exosomes; Tumor-specific proteins; Single microbead; Terminal deoxynucleotidyl transferase (TdT)</t>
  </si>
  <si>
    <t>QUANTIFICATION; SECRETION; CHIP</t>
  </si>
  <si>
    <t>Tumor-derived exosomes carry lots of tumor-specific proteins, attracting more attention as ideal biomarkers for non-invasive diagnosis. However, due to the low concentration of exosomes in biological samples, the development of an ultrasensitive method for tumor-specific exosomal protein detection is highly desired. Here, a sensitive Single Microbead (MB)-based Aptasensor coupled with Terminal deoxynucleotidyl transferase (TdT)triggered signal amplification (SMAT) is reported to detect tumor-specific exosomal proteins. In the SMAT detection system, a single MB is used as the reaction carrier and firstly modified by the antibodies of generic membrane biomarkers (anti-CD63 and anti-CD81) of exosomes for efficient enrichment of exosomes in samples. Then, the DNA aptamers immobilized on gold nanoparticles (AuNPs) are applied to specifically bind to the tumor-specific proteins on exosome surfaces. Subsequently, the DNA aptamers can be efficiently extended by TdT to generate a long poly(dT) tail. By hybridization with lots of fluorescein-labeled poly(dA)25 (FAM-poly(dA)25) probes, large amounts of fluorescence molecules will be highly enriched on one MB and in situ monitored with fluorescence imaging. With this strategy, exosomal EpCAM protein (Exo-EpCAM) has been sensitively detected from the samples containing 55 particles/mu L tumor-derived exosomes. Furthermore, the proposed method could be applied for detection of Exo-EpCAM from plasma microsamples, indicating great application prospect in future for clinical diagnosis.</t>
  </si>
  <si>
    <t>[Wang, Fangfang; Chen, Desheng; Li, Zhengping] Univ Sci &amp; Technol Beijing, Sch Chem &amp; Biol Engn, Beijing Key Lab Bioengn &amp; Sensing Technol, 30 Xueyuan Rd, Beijing 100083, Peoples R China; [Zhang, Yi; Zhang, Zhuoqi] Hebei Univ, Dept Gastrointestinal Surg, Affiliated Hosp, 212 Yuhua East Rd, Baoding 071000, Peoples R China</t>
  </si>
  <si>
    <t>University of Science &amp; Technology Beijing; Hebei University</t>
  </si>
  <si>
    <t>Li, ZP (corresponding author), Univ Sci &amp; Technol Beijing, Sch Chem &amp; Biol Engn, Beijing Key Lab Bioengn &amp; Sensing Technol, 30 Xueyuan Rd, Beijing 100083, Peoples R China.;Zhang, ZQ (corresponding author), Hebei Univ, Dept Gastrointestinal Surg, Affiliated Hosp, 212 Yuhua East Rd, Baoding 071000, Peoples R China.</t>
  </si>
  <si>
    <t>oldeagles2000@163.com; lzpbd@ustb.edu.cn</t>
  </si>
  <si>
    <t>10.1016/j.snb.2021.130034</t>
  </si>
  <si>
    <t>APR 2021</t>
  </si>
  <si>
    <t>WOS:000652633000004</t>
  </si>
  <si>
    <t>Zhang, YZ; Wei, YY; Liu, P; Zhang, X; Xu, ZR; Tan, XD; Chen, ML; Wang, JH</t>
  </si>
  <si>
    <t>Zhang, Yingzhi; Wei, Yunyun; Liu, Peng; Zhang, Xuan; Xu, Zhangrun; Tan, Xiaodong; Chen, Mingli; Wang, Jianhua</t>
  </si>
  <si>
    <t>ICP-MS and Photothermal Dual-Readout Assay for Ultrasensitive and Point-of-Care Detection of Pancreatic Cancer Exosomes</t>
  </si>
  <si>
    <t>AMPLIFICATION STRATEGY; CIRCULATING EXOSOMES; QUANTIFICATION; NANORODS; ABSOLUTE; DNA</t>
  </si>
  <si>
    <t>Pancreatic cancer is known to have a high mortality rate, and its early diagnosis remains challenging due to the occult location of the pancreas. Exosomes derived from pancreatic cancer cells specifically express glypican-1, which may provide a liquid biopsy opportunity for the early diagnosis of pancreatic cancer. Herein, an inductively coupled plasma mass spectrometry (ICP-MS) and photothermal dual-readout platform was proposed for the ultrasensitive and point-of-care analysis of pancreatic cancer exosomes. In our design, exosomes were specifically captured by the sandwich immunoassay, and simultaneously, alkaline phosphatase was introduced in a low-background manner. The alkaline phosphatase triggered the hydrolysis of L-ascorbic acid 2-phosphate to produce ascorbic acid, followed by the etching of Fe3O4@MnO2 nanoflowers. As a result, the Mn2+ generated by etching stripped off the Fe3O4 and was quantified using ICP-MS. Meanwhile, the reduced Fe3O4@MnO2 was applied for the photothermal assay by oxidizing dopamine with MnO2. The protocol exhibits a detection limit down to 19.1 particles mL(-1), which is the most sensitive protocol reported so far. To our knowledge, this is the first endeavor for exosome quantification using ICP-MS and photothermal methods. The developed dual-readout platform not only is capable of distinguishing pancreatic cancer patients from healthy people, but also shows excellent discernibility of individual differences at low concentrations of exosomes. This dual-readout assay is a promising platform for the ultrasensitive and point-of-care detection of exosomes in liquid biopsy-based early cancer diagnosis.</t>
  </si>
  <si>
    <t>[Zhang, Yingzhi; Wei, Yunyun; Zhang, Xuan; Xu, Zhangrun; Chen, Mingli; Wang, Jianhua] Northeastern Univ, Res Ctr Analyt Sci, Shenyang 110819, Peoples R China; [Liu, Peng; Tan, Xiaodong] China Med Univ, Dept Gen Surg 1, Shengjing Hosp, Shenyang 110004, Peoples R China</t>
  </si>
  <si>
    <t>Northeastern University - China; China Medical University</t>
  </si>
  <si>
    <t>CHEN, MINGLI/A-3025-2013</t>
  </si>
  <si>
    <t>CHEN, MINGLI/0000-0001-8536-8864; Liu, Peng/0000-0001-8193-8997; Zhang, Xuan/0000-0001-9175-0082</t>
  </si>
  <si>
    <t>AUG 24</t>
  </si>
  <si>
    <t>10.1021/acs.analchem.1c02004</t>
  </si>
  <si>
    <t>WOS:000691297400023</t>
  </si>
  <si>
    <t>Zhai, LY; Li, MX; Pan, WL; Chen, Y; Li, MM; Pang, JX; Zheng, L; Chen, JX; Duan, WJ</t>
  </si>
  <si>
    <t>Zhai, Ling-Yan; Li, Min-Xiang; Pan, Wei-Lun; Chen, Yun; Li, Min-Min; Pang, Jian-Xin; Zheng, Lei; Chen, Jin-Xiang; Duan, Wen-Jun</t>
  </si>
  <si>
    <t>In Situ Detection of Plasma Exosomal MicroRNA-1246 for Breast Cancer Diagnostics by a Au Nanoflare Probe</t>
  </si>
  <si>
    <t>exosomal microRNA-1246 detection; Au nanoflare probe; breast cancer diagnostics; human plasma; DNA/RNA sensing</t>
  </si>
  <si>
    <t>SPHERICAL NUCLEIC-ACIDS; GOLD NANOPARTICLES; MESSENGER-RNA; SERUM; BIOMARKERS; VESICLES; APTAMER; MIRNAS; ROLES; CELLS</t>
  </si>
  <si>
    <t>Breast cancer is the second cause of cancer mortality in women globally. Early detection, treatment, and metastasis monitoring are of great importance to favorable prognosis. Although conventional diagnostic methods, such as breast X-ray mammography and image positioning biopsy, are accurate, they could cause radioactive or invasive damage to patients. Liquid biopsy as a noninvasive method is convenient for repeated sampling in clinical cancer prognostic, metastatic evaluation, and relapse monitoring. MicroRNAs encased in exosomes circulating in biofluids are promising candidate cancer biomarkers because of their cancer specific expression profiles. Here, we report an in situ detection of microRNA-1246 (miR-1246) in human plasma exosomes as breast cancer biomarker by a nucleic acid functionalized Au nanoflare probe. Needing neither time-consuming and costly isolation of exosomes from the plasma sample nor transfection means, the Au nanoflare probe can directly enter the plasma exosomes to generate fluorescent signal quantitatively by specifically targeting miR-1246. Only 40 mu L., of plasma is needed to incubate 4 h with the probe, giving signal sensitive enough to distinguish samples of breast cancer to normal control. Using plasma miR-1246 level detected by our assay as a marker, we differentiated 46 breast cancer patients from 28 healthy controls with 100% sensitivity and 92.9% specificity at the best cutoff. This simple, accurate, sensitive, and cost-effective liquid biopsy by the Au nanoflare probe is potent to be developed as a noninvasive breast cancer diagnostic assay for clinical adaption.</t>
  </si>
  <si>
    <t>[Zhai, Ling-Yan; Li, Min-Xiang; Chen, Yun; Pang, Jian-Xin; Chen, Jin-Xiang; Duan, Wen-Jun] Southern Med Univ, Nanfang Hosp, Sch Pharmaceut Sci, Guangdong Prov Key Lab New Drug Screening, Guangzhou 510515, Guangdong, Peoples R China; [Pan, Wei-Lun; Zheng, Lei] Southern Med Univ, Nanfang Hosp, Dept Lab Med, Guangzhou 510515, Guangdong, Peoples R China; [Li, Min-Min] Jinan Univ, Affiliated Hosp 1, Ctr Clin Lab, Guangzhou 510630, Guangdong, Peoples R China</t>
  </si>
  <si>
    <t>Southern Medical University - China; Southern Medical University - China; Jinan University</t>
  </si>
  <si>
    <t>Chen, JX; Duan, WJ (corresponding author), Southern Med Univ, Nanfang Hosp, Sch Pharmaceut Sci, Guangdong Prov Key Lab New Drug Screening, Guangzhou 510515, Guangdong, Peoples R China.;Zheng, L (corresponding author), Southern Med Univ, Nanfang Hosp, Dept Lab Med, Guangzhou 510515, Guangdong, Peoples R China.</t>
  </si>
  <si>
    <t>nfyyzhenglei@smu.edu.cn; jxchen@smu.edu.cn; wjduan@smu.edu.cn</t>
  </si>
  <si>
    <t>Duan, Wenjun/0000-0002-9117-7447</t>
  </si>
  <si>
    <t>10.1021/acsami.8b12725</t>
  </si>
  <si>
    <t>WOS:000451496000010</t>
  </si>
  <si>
    <t>Kanno, S; Hirano, S; Sakamoto, T; Furuyama, A; Takase, H; Kato, H; Fukuta, M; Aoki, Y</t>
  </si>
  <si>
    <t>Kanno, Sanae; Hirano, Seishiro; Sakamoto, Tsubasa; Furuyama, Akiko; Takase, Hiroshi; Kato, Hideaki; Fukuta, Mamiko; Aoki, Yasuhiro</t>
  </si>
  <si>
    <t>Scavenger receptor MARCO contributes to cellular internalization of exosomes by dynamin-dependent endocytosis and macropinocytosis</t>
  </si>
  <si>
    <t>MACROPHAGE RECEPTOR; COLLAGENOUS STRUCTURE; NANOPARTICLES; MECHANISM; MEMBRANE; PATHWAYS; DYNASORE; MOLECULE; BACTERIA; BINDING</t>
  </si>
  <si>
    <t>Macrophage receptor with collagenous structure (MARCO) is a scavenger receptor class-A protein that is expressed on the cell surface of macrophages. MARCO mediates binding and ingestion of unopsonized environmental particles, including nano-sized materials. Exosomes are cell-derived, nano-sized vesicles (40-150 nm) that can contain lipids, RNA, DNA, and various proteins. Exosomes play an essential role in cell-to-cell communication via body fluids. However, mechanisms for the recognition and internalization of exosomes by recipient cells remain poorly characterized. In this study, cellular association of serum-derived fluorescent exosomes and 20-nm fluorescent nanoparticles (positive control) was compared between MARCO-expressing (CHO-MARCO) and control (CHO-CT) CHO-K1 cells to examine whether MARCO expression by recipient cells mediates the cellular uptake of exosomes and environmental nanoparticles. Fluorescence microscopic studies and quantitative analyses revealed that the cellular associations of both exosomes and 20-nm nanoparticles were greater in CHO-MARCO cells than in CHO-CT cells. Exosomes and nanoparticles colocalized with green fluorescent protein (GFP)-MARCO in cells transfected with GFP-MARCO-encoding constructs . Furthermore, inhibitory studies showed that actin reorganization and dynamin are involved in the MARCO-mediated cellular internalization of exosomes. These results indicated that MARCO plays a role in the uptake of exosomes.</t>
  </si>
  <si>
    <t>[Kanno, Sanae; Sakamoto, Tsubasa; Kato, Hideaki; Fukuta, Mamiko; Aoki, Yasuhiro] Nagoya City Univ, Dept Forens Med, Grad Sch Med Sci, Mizuho Ku, 1 Kawasumi, Nagoya, Aichi 4678601, Japan; [Hirano, Seishiro; Furuyama, Akiko] Natl Inst Environm Studies, Ctr Hlth &amp; Environm Risk Res, 16-2 Onogawa, Tsukuba, Ibaraki 3058506, Japan; [Takase, Hiroshi] Nagoya City Univ, Grad Sch Med Sci, Core Lab, Mizuho Ku, 1 Kawasumi, Nagoya, Aichi 4678601, Japan</t>
  </si>
  <si>
    <t>Nagoya City University; National Institute for Environmental Studies - Japan; Nagoya City University</t>
  </si>
  <si>
    <t>Kanno, S (corresponding author), Nagoya City Univ, Dept Forens Med, Grad Sch Med Sci, Mizuho Ku, 1 Kawasumi, Nagoya, Aichi 4678601, Japan.</t>
  </si>
  <si>
    <t>sanae@med.nagoya-cu.ac.jp</t>
  </si>
  <si>
    <t>DEC 11</t>
  </si>
  <si>
    <t>10.1038/s41598-020-78464-2</t>
  </si>
  <si>
    <t>WOS:000599946500007</t>
  </si>
  <si>
    <t>Keup, C; Mach, P; Aktas, B; Tewes, M; Kolberg, HC; Hauch, S; Sprenger-Haussels, M; Kimmig, R; Kasimir-Bauer, S</t>
  </si>
  <si>
    <t>Keup, Corinna; Mach, Pawel; Aktas, Bahriye; Tewes, Mitra; Kolberg, Hans-Christian; Hauch, Siegfried; Sprenger-Haussels, Markus; Kimmig, Rainer; Kasimir-Bauer, Sabine</t>
  </si>
  <si>
    <t>RNA Profiles of Circulating Tumor Cells and Extracellular Vesicles for Therapy Stratification of Metastatic Breast Cancer Patients</t>
  </si>
  <si>
    <t>CLINICAL CHEMISTRY</t>
  </si>
  <si>
    <t>PREDICTIVE-VALUE; PROSTATE-CANCER; DNA; BIOMARKERS; RECEPTOR</t>
  </si>
  <si>
    <t>BACKGROUND: Liquid biopsies are discussed to provide surrogate markers for therapy stratification and monitoring. We compared messenger RNA (mRNA) profiles of circulating tumor cells (CTCs) and extracellular vesicles (EVs) in patients with metastatic breast cancer (MBC) to estimate their utility in therapy management. METHODS: Blood was collected from 35 hormone receptor-positive/HER2-negative patients with MBC at the time of disease progression and at 2 consecutive staging time points. CTCs were isolated from 5 mL of blood by positive immunomagnetic selection, and EVs from 4 mL of plasma by a membrane affinity-based procedure. mRNA was reverse transcribed, preamplified, and analyzed for 18 genes by multimarker quantitative polymerase chain reaction (qPCR) assays. RNA profiles were normalized to healthy donor controls (n = 20), and results were correlated with therapy outcome. RESULTS: There were great differences in mRNA profiles of EVs and CTCs, with only 5% (21/403) of positive signals identical in both fractions. Transcripts involved in the PI3K signaling pathway were frequently overexpressed in CTCs, and AURKA, PARP1, and SRC signals appeared more often in EVs. Of all patients, 40% and 34% showed ERBB2 and ERBB3 signals, respectively, in CTCs, which was significantly associated with disease progression (P = 0.007). Whereas MTOR signals in CTCs significantly correlated with response (P = 0.046), signals in EVs indicated therapy failure (P = 0.011). The presence of AURKA signals in EVs seemed to be a marker for the indication of unsuccessful treatment of bone metastasis. CONCLUSIONS: These results emphasize the potential of CTCs and EVs for therapy monitoring and the need for critical evaluation of the implementation of any liquid biopsy in clinical practice. (C) 2018 American Association for Clinical Chemistry</t>
  </si>
  <si>
    <t>[Keup, Corinna; Mach, Pawel; Aktas, Bahriye; Kimmig, Rainer; Kasimir-Bauer, Sabine] Univ Hosp Essen, Dept Gynecol &amp; Obstet, Hufelandstr 55, D-45122 Essen, Germany; [Aktas, Bahriye] Univ Hosp Leipzig, Dept Gynecol, Leipzig, Germany; [Tewes, Mitra] Univ Hosp Essen, Dept Internal Med Canc Res, Essen, Germany; [Kolberg, Hans-Christian] Marienhosp Bottrop, Clin Gynecol &amp; Obstet, Bottrop, Germany; [Hauch, Siegfried; Sprenger-Haussels, Markus] QIAGEN GmbH, Hilden, Germany</t>
  </si>
  <si>
    <t>University of Duisburg Essen; Leipzig University; University of Duisburg Essen; St. Marien Hospital; QIAGEN GmbH</t>
  </si>
  <si>
    <t>Keup, C (corresponding author), Univ Hosp Essen, Dept Gynecol &amp; Obstet, Hufelandstr 55, D-45122 Essen, Germany.</t>
  </si>
  <si>
    <t>Corinna.Keup@uk-essen.de</t>
  </si>
  <si>
    <t>Keup, Corinna/ACL-1875-2022; Tewes, Mitra/AAX-9434-2020; Aktas, Bahriye/AAW-1201-2021</t>
  </si>
  <si>
    <t>Keup, Corinna/0000-0003-3525-7511; Tewes, Mitra/0000-0001-8868-8329; Aktas, Bahriye/0000-0002-5474-051X</t>
  </si>
  <si>
    <t>0009-9147</t>
  </si>
  <si>
    <t>1530-8561</t>
  </si>
  <si>
    <t>10.1373/clinchem.2017.283531</t>
  </si>
  <si>
    <t>WOS:000448294200010</t>
  </si>
  <si>
    <t>Chen, FY; Xu, B; Li, J; Yang, X; Gu, JJ; Yao, XJ; Sun, XC</t>
  </si>
  <si>
    <t>Chen, Fangyu; Xu, Bing; Li, Jie; Yang, Xi; Gu, Junjie; Yao, Xijuan; Sun, Xinchen</t>
  </si>
  <si>
    <t>Hypoxic tumour cell-derived exosomal miR-340-5p promotes radioresistance of oesophageal squamous cell carcinoma via KLF10</t>
  </si>
  <si>
    <t>Hypoxia; Extracellular vesicles; miRNA; Oesophageal cancer; Radiotherapy</t>
  </si>
  <si>
    <t>CANCER SURVIVAL; IN-VITRO; CHEMORADIOTHERAPY; RADIOTHERAPY</t>
  </si>
  <si>
    <t>BackgroundRadiotherapy resistance is a major obstacle in the treatment of oesophageal squamous cell carcinoma (OSCC). Hypoxia is a critical cause of radioresistance. However, the communication between hypoxic cells and aerobic cells via exosomes during the transfer of radiation resistance remains unclear.MethodsExo-miR-340-5p levels were analysed by RNA-seq and qRT-PCR. We co-cultured OSCC cells with isolated normoxic and hypoxic exosomes to study their impact on radiosensitivity. We used a specific exo-miR-340-5p mimic and knock-down retrovirus to explore the role of this miRNA in the transfer of radioresistance from hypoxic to normoxic cells. Dual-luciferase reporter and RIP assays were used to verify KLF10 as a putative target of miR-340-5p. Several in vitro assays were conducted and xenograft models were established to investigate the effect of exo-miR-340-5p on OSCC radiosensitivity. The plasma exo-miR-340-5p levels in OSCC patients were analysed to study the clinical value of this parameter.ResultsHypoxic exosomes alleviated radiation-induced apoptosis and accelerated DNA damage repair. miR-340-5p was highly expressed in hypoxic exosomes and was transferred into normoxic cells, where it induced radioresistance. Overexpression of miR-340-5p in normoxic OSCC cells mimicked the radioresistance of cells co-cultured with hypoxic exosomes. Knockdown of miR-340-5p in hypoxic exosomes reversed the radioresistance effect, indicating that exo-miR-340-5p is critical for hypoxic EV-transferred radioresistance. KLF10 was identified as the direct target of miR-340-5p. Moreover, metformin was found to increase the expression of KLF10 and enhance the radiosensitivity of OSCC. Higher levels of miR-340-5p in the plasma exosomes from OSCC patients are related to a poorer radiotherapy response and prognosis.ConclusionsHypoxic tumour cell-derived exosomal miR-340-5p confers radioresistance in OSCC by targeting KLF10/UVRAG, suggesting that miR-340-5p could be a potential biomarker and therapeutic target for the enhancement of radiosensitivity in OSCC. Metformin can increase KLF10 expression, which ameliorates the radioresistance induced by exo-miR-340-5p transfer. Therefore, metformin could be further investigated as a therapeutic option for the treatment of OSCC.</t>
  </si>
  <si>
    <t>[Chen, Fangyu; Xu, Bing; Li, Jie; Gu, Junjie; Yao, Xijuan] Nanjing Med Univ, Sch Clin Med 1, Nanjing, Peoples R China; [Chen, Fangyu; Xu, Bing; Gu, Junjie; Yao, Xijuan; Sun, Xinchen] Nanjing Med Univ, Affiliated Hosp 1, Dept Radiat Oncol, 300 Guangzhou Rd, Nanjing 210029, Peoples R China; [Yang, Xi] Fudan Univ, Dept Radiat Oncol, Shanghai Canc Ctr, Shanghai, Peoples R China; [Yang, Xi] Fudan Univ, Shanghai Med Coll, Dept Oncol, Shanghai, Peoples R China</t>
  </si>
  <si>
    <t>Nanjing Medical University; Nanjing Medical University; Fudan University; Fudan University</t>
  </si>
  <si>
    <t>Sun, XC (corresponding author), Nanjing Med Univ, Affiliated Hosp 1, Dept Radiat Oncol, 300 Guangzhou Rd, Nanjing 210029, Peoples R China.</t>
  </si>
  <si>
    <t>sunxinchen@njmu.edu.cn</t>
  </si>
  <si>
    <t>JAN 23</t>
  </si>
  <si>
    <t>10.1186/s13046-021-01834-9</t>
  </si>
  <si>
    <t>WOS:000612959100003</t>
  </si>
  <si>
    <t>Li, N; Zheng, X; Chen, MR; Huang, L; Chen, L; Huo, R; Li, XT; Huang, YC; Sun, MW; Mai, SQ; Wu, ZY; Zhang, H; Liu, JB; Yang, CT</t>
  </si>
  <si>
    <t>Li, Na; Zheng, Xue; Chen, Mianrong; Huang, Li; Chen, Li; Huo, Rui; Li, Xiaotong; Huang, Yucan; Sun, Mingwen; Mai, Suiqing; Wu, Zhuoyi; Zhang, Hui; Liu, Jinbao; Yang, Chun-tao</t>
  </si>
  <si>
    <t>Deficient DNASE1L3 facilitates neutrophil extracellular traps-induced invasion via cyclic GMP-AMP synthase and the non-canonical NF-kappa B pathway in diabetic hepatocellular carcinoma</t>
  </si>
  <si>
    <t>CLINICAL &amp; TRANSLATIONAL IMMUNOLOGY</t>
  </si>
  <si>
    <t>cyclic GMP-AMP synthase; diabetes; hepatocellular carcinoma; metastasis; neutrophil extracellular traps; non-canonical NF-kappa B pathway</t>
  </si>
  <si>
    <t>CHROMOSOMAL INSTABILITY; DNA SENSOR; MELLITUS; CGAS; RISK; INCREASES; IMMUNITY; NETOSIS; DISEASE; CANCER</t>
  </si>
  <si>
    <t>Objective. Diabetic hepatocellular carcinoma (HCC) patients have high mortality and metastasis rates. Diabetic conditions promote neutrophil extracellular traps (NETs) generation, which mediates HCC metastasis and invasion. However, whether and how diabetes-induced NETs trigger HCC invasion is largely unknown. Here, we aimed to observe the effects of diabetes-induced NETs on HCC invasion and investigate mechanisms relevant to a DNA sensor cyclic GMP-AMP synthase (cGAS). Methods. Serum from diabetic patients and healthy individuals was collected. Human neutrophil-derived NETs were isolated for stimulating HCC cell invasion. Data from the SEER and TCGA databases were used for bioinformatics analysis. In HCC cells and allograft models, NETs-triggered invasion was observed. Results. Diabetic HCC patients had poorer survival than non-diabetic ones. Either diabetic serum or extracted NETs caused HCC invasion. Induction of diabetes or NETosis elicited HCC allograft invasion in nude mice. HCC cell invasion was attenuated by the treatment with DNase1. In TCGA_LIHC, an extracellular DNase DNASE1L3 was downregulated in tumor tissues, while function terms (the endocytic vesicle membrane, the NF-kappa B pathway and extracellular matrix disassembly) were enriched. DNASE1L3 knockdown in LO2 hepatocytes or H22 cell-derived allografts facilitated HCC invasion in NETotic or diabetic nude mice. Moreover, exposure of HCC cells to NETs upregulated cGAS and the non-canonical NF-kappa B pathway and induced expression of metastasis genes (MMP9 and SPP1). Both cGAS inhibitor and NF-kappa B RELB knockdown diminished HCC invasion caused by NETs DNA. Also, cGAS inhibitor was able to retard translocation of NF-kappa B RELB. Conclusion. Defective DNASE1L3 aggravates NETs DNA-triggered HCC invasion on diabetic conditions via cGAS and the non-canonical NF-kappa B pathway.</t>
  </si>
  <si>
    <t>[Li, Na; Zheng, Xue; Chen, Li; Huo, Rui; Li, Xiaotong; Huang, Yucan; Sun, Mingwen; Mai, Suiqing; Wu, Zhuoyi; Zhang, Hui; Liu, Jinbao; Yang, Chun-tao] Guangzhou Med Univ, Affiliated Canc Hosp, Guangzhou 511436, Peoples R China; [Li, Na; Zheng, Xue; Chen, Li; Huo, Rui; Li, Xiaotong; Huang, Yucan; Sun, Mingwen; Mai, Suiqing; Wu, Zhuoyi; Zhang, Hui; Liu, Jinbao; Yang, Chun-tao] Guangzhou Med Univ, Inst Guangzhou Med Univ, Guangzhou Municipal &amp; Guangdong Prov Key Lab Prot, Sch Basic Med Sci, Guangzhou 511436, Peoples R China; [Li, Na] Yue Bei Peoples Hosp, Dept Pathol, Shaoguan, Peoples R China; [Chen, Mianrong] Guangzhou Med Univ, Affiliated Hosp 2, Dept Radiol, Guangzhou, Peoples R China; [Huang, Li] Sun Yat Sen Univ, Dept Pancreatobiliary Surg, Affiliated Hosp 1, Guangzhou, Peoples R China</t>
  </si>
  <si>
    <t>Guangzhou Medical University; Guangzhou Medical University; Guangzhou Medical University; Sun Yat Sen University</t>
  </si>
  <si>
    <t>Liu, JB; Yang, CT (corresponding author), Guangzhou Med Univ, Affiliated Canc Hosp, Guangzhou 511436, Peoples R China.;Liu, JB; Yang, CT (corresponding author), Guangzhou Med Univ, Inst Guangzhou Med Univ, Guangzhou Municipal &amp; Guangdong Prov Key Lab Prot, Sch Basic Med Sci, Guangzhou 511436, Peoples R China.</t>
  </si>
  <si>
    <t>jliu@gzhmu.edu.cn; cyang@gzhmu.edu.cn</t>
  </si>
  <si>
    <t>2050-0068</t>
  </si>
  <si>
    <t>e1386</t>
  </si>
  <si>
    <t>10.1002/cti2.1386</t>
  </si>
  <si>
    <t>WOS:000784080300001</t>
  </si>
  <si>
    <t>Allen, RM; Zhao, SL; Solano, MAR; Zhu, WY; Michell, DL; Wang, YH; Shyr, Y; Sethupathy, P; Linton, MF; Graf, GA; Sheng, QH; Vickers, KC</t>
  </si>
  <si>
    <t>Allen, Ryan M.; Zhao, Shilin; Solano, Marisol A. Ramirez; Zhu, Wanying; Michell, Danielle L.; Wang, Yuhuan; Shyr, Yu; Sethupathy, Praveen; Linton, MacRae F.; Graf, Gregory A.; Sheng, Quanhu; Vickers, Kasey C.</t>
  </si>
  <si>
    <t>Bioinformatic analysis of endogenous and exogenous small RNAs on lipoproteins</t>
  </si>
  <si>
    <t>MicroRNA; high-throughput sequencing; small RNA; lipoprotein; HDL; bile; urine; APOB; extracellular RNA; exogenous RNA</t>
  </si>
  <si>
    <t>SCAVENGER RECEPTOR; SEQUENCING DATA; SR-BI; DNA-SEQUENCES; CHOLESTEROL; MICRORNAS; IDENTIFICATION; BIOGENESIS; EXPRESSION; TRANSPORT</t>
  </si>
  <si>
    <t>To comprehensively study extracellular small RNAs (sRNA) by sequencing (sRNA-seq), we developed a novel pipeline to overcome current limitations in analysis entitled, Tools for Integrative Genome analysis of Extracellular sRNAs (TIGER). To demonstrate the power of this tool, sRNA-seq was performed on mouse lipoproteins, bile, urine and livers. A key advance for the TIGER pipeline is the ability to analyse both host and non-host sRNAs at genomic, parent RNA and individual fragment levels. TIGER was able to identify approximately 60% of sRNAs on lipoproteins and &gt;85% of sRNAs in liver, bile and urine, a significant advance compared to existing software. Moreover, TIGER facilitated the comparison of lipoprotein sRNA signatures to disparate sample types at each level using hierarchical clustering, correlations, beta-dispersions, principal coordinate analysis and permutational multivariate analysis of variance. TIGER analysis was also used to quantify distinct features of exRNAs, including 5' miRNA variants, 3' miRNA non-templated additions and parent RNA positional coverage. Results suggest that the majority of sRNAs on lipoproteins are non-host sRNAs derived from bacterial sources in the microbiome and environment, specifically rRNA-derived sRNAs from Proteobacteria. Collectively, TIGER facilitated novel discoveries of lipoprotein and biofluid sRNAs and has tremendous applicability for the field of extracellular RNA.</t>
  </si>
  <si>
    <t>[Allen, Ryan M.; Zhu, Wanying; Michell, Danielle L.; Linton, MacRae F.; Vickers, Kasey C.] Vanderbilt Univ, Med Ctr, Dept Med, Nashville, TN 37232 USA; [Zhao, Shilin; Solano, Marisol A. Ramirez; Shyr, Yu; Sheng, Quanhu] Vanderbilt Univ, Med Ctr, Dept Biostat, Nashville, TN USA; [Wang, Yuhuan; Graf, Gregory A.] Univ Kentucky, Dept Pharmaceut Sci, Lexington, KY USA; [Sethupathy, Praveen] Cornell Univ, Coll Vet Med, Dept Biomed Sci, Ithaca, NY 14853 USA</t>
  </si>
  <si>
    <t>Vanderbilt University; Vanderbilt University; University of Kentucky; Cornell University</t>
  </si>
  <si>
    <t>Vickers, KC (corresponding author), Vanderbilt Univ, Med Ctr, Dept Med, Nashville, TN 37232 USA.</t>
  </si>
  <si>
    <t>kasey.c.vickers@Vanderbilt.edu</t>
  </si>
  <si>
    <t>; Sheng, Quanhu/B-9543-2009</t>
  </si>
  <si>
    <t>Michell, Danielle/0000-0002-2048-4191; Sheng, Quanhu/0000-0001-8951-9295; allen, ryan/0000-0002-8057-3436</t>
  </si>
  <si>
    <t>AUG 13</t>
  </si>
  <si>
    <t>10.1080/20013078.2018.1506198</t>
  </si>
  <si>
    <t>WOS:000441656000001</t>
  </si>
  <si>
    <t>Kim, JW; Wieckowski, E; Taylor, DD; Reichert, TE; Watkins, S; Whiteside, TL</t>
  </si>
  <si>
    <t>Fas ligand-positive membranous vesicles isolated from sera of patients with oral cancer induce apoptosis of activated T lymphocytes</t>
  </si>
  <si>
    <t>SQUAMOUS-CELL CARCINOMA; CHAIN EXPRESSION; DOWN-REGULATION; HEAD; NECK; MICROVESICLES; SUPPRESSION; MECHANISMS; MOLECULES; SELECTION</t>
  </si>
  <si>
    <t>Objective: In patients with oral squamous cell carcinoma, a high proportion of T cells in the tumor undergo apoptosis, which correlates with Fas ligand (FasL) expression on tumor cells. The present study was done to identify mechanisms responsible for apoptosis of T cells seen in the peripheral circulation of these patients. Methods: Sera of 27 patients, normal donor sera, and supernatants of cultured normal or tumor cells were fractionated by size exclusion chromatography and ultracentrifugation to isolate microvesicles. The presence of microvesicle-associated FasL was studied by Western blots, blocking with anti-Fas reagents, and immunoelectron microscopy. Biological activities of microvesicles were tested including the ability to induce apoptosis of Jurkat and T-cell blasts. Semiquantitative analysis of FasL in microvesicles was correlated with caspase-3 activity, DNA fragmentation, cytochrome c release, loss of mitochondrial membrane potential, and TCR-zeta chain expression in lymphocytes. Results: FasL-positive (FasL+) microvesicles were detected in sera of 21 of 27 patients. Microvesicles contained 42 kDa FasL. These microvesicles induced caspase-3 cleavage, cytochrome c release, loss of mitochondrial membrane potential, and reduced TCR-zeta chain expression in target lymphocytes. Biological activity of the FasL+ microvesicles was partially blocked by ZB4 anti-Fas monoclonal antibody. Microvesicle-associated FasL levels correlated with the patients' tumor burden and nodal involvement. Conclusion: Sera of patients with active oral squamous cell carcinoma contain FasL+ microvesicles, which induce the receptor and mitochondrial apoptotic pathways in Jurkat and activated T cells.</t>
  </si>
  <si>
    <t>Univ Pittsburgh, Inst Canc, Res Pavil Hillman Canc Ctr, Pittsburgh, PA 15213 USA; Univ Louisville, Sch Med, Louisville, KY 40292 USA; Johannes Gutenberg Univ Mainz, D-6500 Mainz, Germany</t>
  </si>
  <si>
    <t>Pennsylvania Commonwealth System of Higher Education (PCSHE); University of Pittsburgh; University of Louisville; Johannes Gutenberg University of Mainz</t>
  </si>
  <si>
    <t>Whiteside, TL (corresponding author), Univ Pittsburgh, Inst Canc, Res Pavil Hillman Canc Ctr, 5117 Ctr Ave,Suite 1-27, Pittsburgh, PA 15213 USA.</t>
  </si>
  <si>
    <t>Watkins, Simon/ABG-2590-2021</t>
  </si>
  <si>
    <t>Watkins, Simon/0000-0003-4092-1552</t>
  </si>
  <si>
    <t>WOS:000226740400008</t>
  </si>
  <si>
    <t>Heineck, DP; Lewis, JM; Heller, MJ</t>
  </si>
  <si>
    <t>Heineck, D. P.; Lewis, J. M.; Heller, M. J.</t>
  </si>
  <si>
    <t>Electrokinetic device design and constraints for use in high conductance solutions</t>
  </si>
  <si>
    <t>Blood; Cell-free DNA; Dielectrophoresis; Exosomes; Plasma</t>
  </si>
  <si>
    <t>DIELECTROPHORETIC ISOLATION; BIOMARKERS; NANOPARTICLES; SEPARATION; BLOOD; DNA; DIFFERENTIATION; IMMUNOASSAYS; PERMITTIVITY; WATER</t>
  </si>
  <si>
    <t>The quest for new cell-free DNA and exosome biomarker-based molecular diagnostics require fast and efficient sample preparation techniques. Conventional methods for isolating these biomarkers from blood are both time-consuming and laborious. New electrokinetic microarray devices using dielectrophoresis (DEP) to isolate cell-free DNA and exosome biomarkers have now greatly improved the sample preparation process. Nevertheless, these devices still have some limitations when used with high conductance biological fluids, e.g. blood, plasma, and serum. This study demonstrates that electrochemical damage may occur on the platinum electrodes of DEP microarray devices. It further examines two model device designs that include a parallel wire arrangement and a planar array. Effective isolation of fluorescent beads with parallel wires is shown under low-conductance conditions (10(-4)S/m), but electrothermal flow overcomes DEP forces under high conductance conditions (&gt;0.1S/m). Planar devices are shown to be effective under high conductance conditions (approximate to 1S/m) without the deleterious effects of electrothermal flow. This study provides new insights into design compromises and limitations for producing future electrokinetic devices for better performance with high conductance solutions.</t>
  </si>
  <si>
    <t>[Heineck, D. P.] Univ Calif San Diego, Dept Elect &amp; Comp Engn, La Jolla, CA 92093 USA; [Lewis, J. M.; Heller, M. J.] Univ Calif San Diego, Dept Nanoengn, SME Bldg,Rm 243J,9500 Gilman Dr, La Jolla, CA 92093 USA</t>
  </si>
  <si>
    <t>University of California System; University of California San Diego; University of California System; University of California San Diego</t>
  </si>
  <si>
    <t>Heller, MJ (corresponding author), Univ Calif San Diego, Dept Nanoengn, SME Bldg,Rm 243J,9500 Gilman Dr, La Jolla, CA 92093 USA.</t>
  </si>
  <si>
    <t>Heineck, Daniel/0000-0002-9336-1256; Lewis, Jean/0000-0001-6978-5166</t>
  </si>
  <si>
    <t>10.1002/elps.201600563</t>
  </si>
  <si>
    <t>WOS:000402622400010</t>
  </si>
  <si>
    <t>Li, N; Huang, ZL; Ye, ZW; Zhang, XF; Chen, LC; Xiao, Y</t>
  </si>
  <si>
    <t>Li, Ning; Huang, Zhenlong; Ye, Zhiwei; Zhang, Xinfu; Chen, Lingcheng; Xiao, Yi</t>
  </si>
  <si>
    <t>Total membrane lipid assay (MLA): simple and practical quantification of exosomes based on efficient membrane-specific dyes unaffected by proteins</t>
  </si>
  <si>
    <t>MATERIALS CHEMISTRY FRONTIERS</t>
  </si>
  <si>
    <t>EXTRACELLULAR VESICLES; LONG-WAVELENGTH; BIOMARKERS; PROTEOMICS; DNA</t>
  </si>
  <si>
    <t>There has been a rapidly rising interest directed toward exosomes owing to their potential application in diagnosis and prognosis of major diseases. However, forthright and low-cost but accurate quantification of isolated or purified exosomes remains a technical challenge. Herein, we have developed a practical fluorimetry method to ratiometrically detect exosomes. Different from the conventional BCA total protein assay to quantify exosomes, we choose the exosome membrane lipids as the analyte and propose a new exosome quantification method called Total Membrane Lipid Assay (MLA). Our idea is based on two fluorescent dyes of completely different nature. The first one (Dye A) should be a membrane-specific dye that is non-fluorescent in aqueous buffer solutions but emits strong fluorescence once inserted into the membrane phospholipid bimolecular layer. The second one (Dye B) should be a highly water-soluble dye that has no affinity to membranes of exosomes. Therefore, the former is in charge of sensing exosomes and the latter acts as the internal reference insensitive to exosomes. The ratio of Dye A's fluorescence intensity to Dye B's (R-A/B) can be used as the quantitative basis. We have screened several candidate dyes, and among them we have obtained two that meet our requirements for Dye A and Dye B, respectively. Then, a linear relationship between exosomes' membrane lipid and R-A/B has been established, with the detection limit as low as 0.342 ng mu L-1 (MLA total membrane lipid content). Therefore, the analytical sensitivity of this ratiometric assay is recommendable. Finally, we confirm the practical applicability of this method by quantification of exosomes isolated from different real samples, including culture media of HeLa, MCF-7, MCF-10A cells and human serum.</t>
  </si>
  <si>
    <t>[Li, Ning; Huang, Zhenlong; Ye, Zhiwei; Zhang, Xinfu; Chen, Lingcheng; Xiao, Yi] Dalian Univ Technol, State Key Lab Fine Chem, Dalian 116024, Peoples R China</t>
  </si>
  <si>
    <t>Dalian University of Technology</t>
  </si>
  <si>
    <t>Xiao, Y (corresponding author), Dalian Univ Technol, State Key Lab Fine Chem, Dalian 116024, Peoples R China.</t>
  </si>
  <si>
    <t>xiaoyi@dlut.edu.cn</t>
  </si>
  <si>
    <t>Chen, Lingcheng/0000-0002-0824-8399; Xiao, Yi/0000-0001-7881-3907; Huang, Zhenlong/0000-0003-4148-426X</t>
  </si>
  <si>
    <t>2052-1537</t>
  </si>
  <si>
    <t>NOV 1</t>
  </si>
  <si>
    <t>10.1039/c8qm00300a</t>
  </si>
  <si>
    <t>Chemistry, Multidisciplinary; Materials Science, Multidisciplinary</t>
  </si>
  <si>
    <t>Chemistry; Materials Science</t>
  </si>
  <si>
    <t>WOS:000448416200020</t>
  </si>
  <si>
    <t>Weingrill, RB; Paladino, SL; Souza, MLR; Pereira, EM; Marques, ALX; Silva, ECO; Fonseca, EJD; Ursulino, JS; Aquino, TM; Bevilacqua, E; Urschitz, J; Silva, JC; Borbely, AU</t>
  </si>
  <si>
    <t>Weingrill, Rodrigo Barbano; Paladino, Sandra Luft; Souza, Matheus Leite Ramos; Pereira, Eduardo Manoel; Marques, Aldilane Lays Xavier; Silva, Elaine Cristina Oliveira; da Silva Fonseca, Eduardo Jorge; Ursulino, Jeferson Santana; Aquino, Thiago Mendonca; Bevilacqua, Estela; Urschitz, Johann; Silva, Jean Carl; Borbely, Alexandre Urban</t>
  </si>
  <si>
    <t>Exosome-Enriched Plasma Analysis as a Tool for the Early Detection of Hypertensive Gestations</t>
  </si>
  <si>
    <t>FRONTIERS IN PHYSIOLOGY</t>
  </si>
  <si>
    <t>Raman spectroscopy; hypertensive gestational disorders; exosome-enriched plasma; H-1 NMR; biomarkers</t>
  </si>
  <si>
    <t>RAMAN-SPECTROSCOPY; BLOOD-PRESSURE; INSULIN-RESISTANCE; PREECLAMPSIA; PREGNANCY; SUPPLEMENTATION; CAROTENOIDS; BIOMARKERS; DATABASE; IMPACT</t>
  </si>
  <si>
    <t>Hypertensive disorders of pregnancy are closely associated with prematurity, stillbirth, and maternal morbidity and mortality. The onset of hypertensive disorders of pregnancy (HDP) is generally noticed after the 20th week of gestation, limiting earlier intervention. The placenta is directly responsible for modulating local and systemic physiology by communicating using mechanisms such as the release of extracellular vesicles, especially exosomes. In this study, we postulated that an analysis of exosome-enriched maternal plasma could provide a more focused and applicable approach for diagnosing HDP earlier in pregnancy. Therefore, the peripheral blood plasma of 24 pregnant women (11 controls, 13 HDP) was collected between 20th and 24th gestational weeks and centrifuged for exosome enrichment. Exosome-enriched plasma samples were analyzed by Raman spectroscopy and by proton nuclear magnetic resonance metabolomics (H-1 NMR). Principal component analysis (PCA) and orthogonal partial least squares discriminant analysis (OPLS-DA) were used to analyze the Raman data, from the spectral region of 600-1,800 cm(-1), to determine its potential to discriminate between groups. Using principal component analysis, we were able to differentiate the two groups, with 89% of all variances found in the first three principal components. In patients with HDP, most significant differences in Raman bands intensity were found for sphingomyelin, acetyl CoA, methionine, DNA, RNA, phenylalanine, tryptophan, carotenoids, tyrosine, arginine, leucine, amide I and III, and phospholipids. The H-1 NMR analysis showed reduced levels of D-glucose, L-proline, L-tyrosine, glycine, and anserine in HDP, while levels of 2-hydroxyvalerate, polyunsaturated fatty acids, and very-low-density lipoprotein (VLDL) were increased. H-1 NMR results were able to assign an unknown sample to either the control or HDP groups at a precision of 88.3% using orthogonal partial least squares discriminant analysis and 87% using logistic regression analysis. Our results suggested that an analysis of exosome-enriched plasma could provide an initial assessment of placental function at the maternal-fetal interface and aid HDP diagnosis, prognosis, and treatment, as well as to detect novel, early biomarkers for HDP.</t>
  </si>
  <si>
    <t>[Weingrill, Rodrigo Barbano; Paladino, Sandra Luft; Souza, Matheus Leite Ramos; Pereira, Eduardo Manoel; Silva, Jean Carl] Univ Regiao Joinville UNIVILLE, Programa Posgrad Saude &amp; Meio Ambiente, Joinville, Brazil; [Weingrill, Rodrigo Barbano; Urschitz, Johann] Univ Hawaii Manoa, Inst Biogenesis Res, John A Burns Sch Med, Honolulu, HI 96822 USA; [Souza, Matheus Leite Ramos] High Risky Gestat Ambulatory, Joinville, Brazil; [Marques, Aldilane Lays Xavier; Borbely, Alexandre Urban] Univ Fed Alagoas, Inst Hlth &amp; Biol Sci, Cell Biol Lab, Maceio, Alagoas, Brazil; [Silva, Elaine Cristina Oliveira; da Silva Fonseca, Eduardo Jorge] Univ Fed Alagoas, Inst Phys, Opt &amp; Nanoscopy Grp, Maceio, Alagoas, Brazil; [Ursulino, Jeferson Santana; Aquino, Thiago Mendonca] Univ Fed Alagoas, Inst Chem &amp; Biotechnol, Nucleus Anal &amp; Res Nucl Magnet Resonance, Maceio, Alagoas, Brazil; [Bevilacqua, Estela] Univ Sao Paulo, Inst Biomed Sci, Dept Cellular &amp; Dev Biol, Lab Maternal Fetal Interact &amp; Placenta Res, Sao Paulo, Brazil</t>
  </si>
  <si>
    <t>Universidade da Regiao de Joinville; University of Hawaii System; University of Hawaii Manoa; Universidade Federal de Alagoas; Universidade Federal de Alagoas; Universidade Federal de Alagoas; Universidade de Sao Paulo</t>
  </si>
  <si>
    <t>Borbely, AU (corresponding author), Univ Fed Alagoas, Inst Hlth &amp; Biol Sci, Cell Biol Lab, Maceio, Alagoas, Brazil.</t>
  </si>
  <si>
    <t>alexandre.borbely@icbs.ufal.br</t>
  </si>
  <si>
    <t>Borbely, Alexandre Urban/Q-2884-2019; Fonseca, Eduardo J S/G-2844-2015; aquino, thiago/B-5443-2017; BEVILACQUA, ESTELA/H-3354-2011; Manoel Pereira, Eduardo/Y-9856-2018</t>
  </si>
  <si>
    <t>Borbely, Alexandre Urban/0000-0001-6737-0901; aquino, thiago/0000-0001-9138-8466; BEVILACQUA, ESTELA/0000-0003-4178-4625; Manoel Pereira, Eduardo/0000-0002-5734-626X; Oliveira da Silva, Elaine Cristina/0000-0003-4373-0049</t>
  </si>
  <si>
    <t>1664-042X</t>
  </si>
  <si>
    <t>DEC 14</t>
  </si>
  <si>
    <t>10.3389/fphys.2021.767112</t>
  </si>
  <si>
    <t>Physiology</t>
  </si>
  <si>
    <t>WOS:000737251400001</t>
  </si>
  <si>
    <t>Lee, M; Park, SJ; Kim, G; Park, C; Lee, MH; Ahn, JH; Lee, T</t>
  </si>
  <si>
    <t>Lee, Myoungro; Park, Seong Jun; Kim, Gahyeon; Park, Chulhwan; Lee, Min-Ho; Ahn, Jae-Hyuk; Lee, Taek</t>
  </si>
  <si>
    <t>A pretreatment-free electrical capacitance biosensor for exosome detection in undiluted serum</t>
  </si>
  <si>
    <t>Exosome sensing; Capacitance sensor; Interdigitated micro-gap electrode; Aptamer; CD63 protein</t>
  </si>
  <si>
    <t>ELECTROCHEMICAL DETECTION; INTERDIGITATED ELECTRODE; NEXT-GENERATION; APTASENSOR; MICROVESICLES</t>
  </si>
  <si>
    <t>The exosome is considered a useful biomarker for the early diagnosis of cancer. However, pretreatment of samples used in diagnosis is time-consuming. Herein, we fabricated a capacitance-based electrical biosensor that requires no pretreatment of the sample; it is composed of a DNA aptamer/molybdenum disulfide (MoS2) heterolayer on an interdigitated micro-gap electrode (IDMGE)/printed circuit board (PCB) system for detecting exosomes in an undiluted serum sample. The DNA aptamer detects the CD63 protein on the exosome as the biomarker, while the MoS2 nanoparticle enhances electrical sensitivity. In this study, for the first time, the IDMGE system was used to amplify the electrical signal efficiently for exosome detection. The IDMGE amplifies the capacitance signal as the gap between electrodes decreases, making it easy to detect the target by utilizing the heightened sensitivity. Moreover, it is possible to immobilize a bio-probe more efficiently than with an electrical sensitivity-enhancing electrode with the same area. The thiol-modified (SH-) CD63 DNA aptamer was introduced as the bio-probe that selectively binds to the CD63 protein on the exosome surface. The capacitance signal from the IDMGE electrical sensor increased linearly with the increase in the concentration of exosomes in human serum expressed on a logarithmic scale, the detection limit being 2192.6 exosomes/mL. The proposed biosensor can detect exosomes in undiluted human serum with high selectivity and sensitivity. A blind test was also carried out to test the reliability of the biosensor. The capacitance-based electrical biosensor thus offers a new platform for cancer diagnosis in the future.</t>
  </si>
  <si>
    <t>[Lee, Myoungro; Park, Chulhwan; Lee, Taek] Kwangwoon Univ, Dept Chem Engn, 20 Kwangwoon Ro, Seoul 01897, South Korea; [Park, Seong Jun; Lee, Min-Ho] Kwangwoon Univ, Dept Elect Engn, 20 Kwangwoon Ro, Seoul 01897, South Korea; [Park, Chulhwan; Lee, Min-Ho] Chung Ang Univ, Sch Integrat Engn, Seoul 06974, South Korea; [Lee, Min-Ho; Ahn, Jae-Hyuk] Chungnam Natl Univ, Dept Elect Engn, Daejeon 9, South Korea</t>
  </si>
  <si>
    <t>Kwangwoon University; Kwangwoon University; Chung Ang University; Chungnam National University</t>
  </si>
  <si>
    <t>Lee, T (corresponding author), Kwangwoon Univ, Dept Chem Engn, 20 Kwangwoon Ro, Seoul 01897, South Korea.;Lee, MH (corresponding author), Chung Ang Univ, Sch Integrat Engn, Seoul 06974, South Korea.;Ahn, JH (corresponding author), Chungnam Natl Univ, Dept Elect Engn, Daejeon 9, South Korea.</t>
  </si>
  <si>
    <t>mhlee7@cau.ac.kr; jaehyuk@cnu.ac.kr; tlee@kw.ac.kr</t>
  </si>
  <si>
    <t>Lee, Min-Ho/ACW-7378-2022</t>
  </si>
  <si>
    <t>Lee, Min-Ho/0000-0002-7028-4745</t>
  </si>
  <si>
    <t>10.1016/j.bios.2021.113872</t>
  </si>
  <si>
    <t>WOS:000782663000003</t>
  </si>
  <si>
    <t>Sun, CK; Chen, CH; Chang, CL; Chiang, HJ; Sung, PH; Chen, KH; Chen, YL; Chen, SY; Kao, GS; Chang, HW; Lee, MS; Yip, HK</t>
  </si>
  <si>
    <t>Sun, Cheuk-Kwan; Chen, Chih-Hung; Chang, Chia-Lo; Chiang, Hsin-Ju; Sung, Pei-Hsun; Chen, Kuan-Hung; Chen, Yi-Ling; Chen, Sheng-Yi; Kao, Gour-Shenq; Chang, Hsueh-Wen; Lee, Mel S.; Yip, Hon-Kan</t>
  </si>
  <si>
    <t>Melatonin treatment enhances therapeutic effects of exosomes against acute liver ischemia-reperfusion injury</t>
  </si>
  <si>
    <t>AMERICAN JOURNAL OF TRANSLATIONAL RESEARCH</t>
  </si>
  <si>
    <t>Exogenic exosomes; melatonin; liver ischemia-reperfusion injury; inflammation; oxidative stress; immunomodulation; anti-oxidant</t>
  </si>
  <si>
    <t>MESENCHYMAL STEM-CELLS; OXIDATIVE STRESS; ISCHEMIA/REPERFUSION; UPDATE; RATS</t>
  </si>
  <si>
    <t>This study tests the hypothesis that combined melatonin and exogenic adipose mesenchymal stem cell (ADMSC)-derived exosome treatment offers superior protection against liver ischemia-reperfusion (LIR) injury compared to either alone. In vitro studies utilized a macrophage cell line (RAW) pretreated with lipopolysaccharide and hepatocytes pretreated with melatonin or exosomes before hypoxia treatment, while in vitro experiments involved analyses of liver specimens from male adult Sprague-Dawley rats (n = 50) equally categorized into sham controls (SC), LIR only, LIR-exosome (100 mu g, 30 minute post-LIR), LIR-melatonin (20 mg/kg, 30 minute post-LIR and 50 mg/kg at 6 and 18 hours post-LIR), and LIR-exosome-melatonin groups. In vitro studies showed suppression of inflammation (MIF, MMP-9, IL-1 beta, TNF-alpha, COX-2) and oxidative stress (NOX-1, NOX-2, oxidized protein)/apoptosis (cleaved caspase 3 and PARP) by exosome and exosome/melatonin treatment, respectively (all P&lt;0.001). In vivo data demonstrated lowest liver injury score and plasma AST concentrations in LIR-exosome-melatonin group compared with other groups (P&lt;0.001). Besides, expressions of inflammatory markers at protein (ICAM-1, IL-1 beta, MMP-9, TNF-alpha, NF-kappa B, RANTES) and cellular (CD3+, CD4+, CD8+, CD161+, CD11+, CD14+, F4/80) levels, and protein expressions of apoptosis (cleaved caspase-3, PARP), oxidative stress (NOX-1, NOX-2), DNA damage (gamma-H2AX) and mitochondrial damage (cytosolic cytochrome-C) markers displayed a pattern similar to that of liver injury score, whereas protein expression of anti-oxidants (HO-1, NQO-1) showed progressive increase from SC to the combined treatment group (all P&lt;0.001). In conclusion, combined exosome-melatonin regimen was superior to either alone in protecting the liver against ischemia-reperfusion injury.</t>
  </si>
  <si>
    <t>[Sun, Cheuk-Kwan] I Shou Univ, Sch Med Int Students, E Da Hosp, Dept Emergency Med, Kaohsiung, Taiwan; [Chen, Chih-Hung] Kaohsiung Chang Gung Mem Hosp, Dept Internal Med, Div Gen Med, Kaohsiung, Taiwan; [Chang, Chia-Lo] Kaohsiung Chang Gung Mem Hosp, Dept Surg, Div Colorectal Surg, Kaohsiung, Taiwan; [Chiang, Hsin-Ju] Kaohsiung Chang Gung Mem Hosp, Dept Obstet &amp; Gynecol, Kaohsiung, Taiwan; [Sung, Pei-Hsun; Chen, Yi-Ling; Chen, Sheng-Yi; Kao, Gour-Shenq; Yip, Hon-Kan] Kaohsiung Chang Gung Mem Hosp, Dept Internal Med, Div Cardiol, 123 Dapi Rd, Kaohsiung 83301, Taiwan; [Chen, Kuan-Hung] Kaohsiung Chang Gung Mem Hosp, Dept Anesthesiol, Kaohsiung, Taiwan; [Lee, Mel S.] Kaohsiung Chang Gung Mem Hosp, Dept Orthoped, Kaohsiung, Taiwan; [Lee, Mel S.] Kaohsiung Chang Gung Mem Hosp, Inst Translat Res Biomed, Kaohsiung, Taiwan; [Yip, Hon-Kan] Kaohsiung Chang Gung Mem Hosp, Ctr Shockwave Med &amp; Tissue Engn, Kaohsiung, Taiwan; [Yip, Hon-Kan] Chang Gung Univ Coll Med, 123 Dapi Rd, Kaohsiung 83301, Taiwan; [Chang, Hsueh-Wen] Natl Sun Yat Sen Univ, Dept Biol Sci, Kaohsiung, Taiwan; [Yip, Hon-Kan] China Med Univ, China Med Univ Hosp, Dept Med Res, Taichung 40402, Taiwan; [Yip, Hon-Kan] Asia Univ, Dept Nursing, Taichung 41354, Taiwan</t>
  </si>
  <si>
    <t>E-Da Hospital; I Shou University; Chang Gung Memorial Hospital; Chang Gung Memorial Hospital; Chang Gung Memorial Hospital; Chang Gung Memorial Hospital; Chang Gung Memorial Hospital; Chang Gung Memorial Hospital; Chang Gung Memorial Hospital; Chang Gung Memorial Hospital; Chang Gung University; National Sun Yat Sen University; China Medical University Taiwan; China Medical University Hospital - Taiwan; Asia University Taiwan</t>
  </si>
  <si>
    <t>Sun, CK (corresponding author), I Shou Univ, Sch Med Int Students, E Da Hosp, Dept Emergency Med, Kaohsiung, Taiwan.;Yip, HK (corresponding author), Kaohsiung Chang Gung Mem Hosp, Dept Internal Med, Div Cardiol, 123 Dapi Rd, Kaohsiung 83301, Taiwan.;Yip, HK (corresponding author), Chang Gung Univ Coll Med, 123 Dapi Rd, Kaohsiung 83301, Taiwan.</t>
  </si>
  <si>
    <t>lawrence.c.k.sun@gmail.com; han.gung@msa.hinet.net</t>
  </si>
  <si>
    <t>Sun, Cheuk-Kwan/K-5723-2012</t>
  </si>
  <si>
    <t>Sung, Pei-Hsun/0000-0002-1989-9752; Chen, Chih-Hung/0000-0003-3718-2373</t>
  </si>
  <si>
    <t>1943-8141</t>
  </si>
  <si>
    <t>WOS:000400487800001</t>
  </si>
  <si>
    <t>Madison, MN; Roller, RJ; Okeoma, CM</t>
  </si>
  <si>
    <t>Madison, Marisa N.; Roller, Richard J.; Okeoma, Chioma M.</t>
  </si>
  <si>
    <t>Human semen contains exosomes with potent anti-HIV-1 activity</t>
  </si>
  <si>
    <t>RETROVIROLOGY</t>
  </si>
  <si>
    <t>Exosome; Semen; HIV-1; mAIDS; HSV</t>
  </si>
  <si>
    <t>IMMUNODEFICIENCY-VIRUS TYPE-1; HIV-1 REVERSE-TRANSCRIPTASE; REPLICATION IN-VIVO; T-CELLS; SEXUAL TRANSMISSION; BREAST-MILK; INFECTION; APOBEC3G; RNA; PLASMA</t>
  </si>
  <si>
    <t>Background: Exosomes are membranous nanovesicles secreted into the extracellular milieu by diverse cell types. Exosomes facilitate intercellular communication, modulate cellular pheno/genotype, and regulate microbial pathogenesis. Although human semen contains exosomes, their role in regulating infection with viruses that are sexually transmitted remains unknown. In this study, we used semen exosomes purified from healthy human donors to evaluate the role of exosomes on the infectivity of different strains of HIV-1 in a variety of cell lines. Results: We show that human semen contains a heterologous population of exosomes, enriched in mRNA encoding tetraspanin exosomal markers and various antiviral factors. Semen exosomes are internalized by recipient cells and upon internalization, inhibit replication of a broad array of HIV-1 strains. Remarkably, the anti-HIV-1 activity of semen exosomes is specific to retroviruses because semen exosomes blocked replication of the murine AIDS (mAIDS) virus complex (LP-BM5). However, exosomes from blood had no effect on HIV-1 or LP-BM5 replication. Additionally, semen and blood exosomes had no effect on replication of herpes simplex virus; types 1 and 2 (HSV1 and HSV2). Mechanistic studies indicate that semen exosomes exert a post-entry block on HIV-1 replication by orchestrating deleterious effects on particle-associated reverse transcriptase activity and infectivity. Conclusions: These illuminating findings i) improve our knowledge of the cargo of semen exosomes, ii) reveal that semen exosomes possess anti-retroviral activity, and iii) suggest that semen exosome-mediated inhibition of HIV-1 replication may provide novel opportunities for the development of new therapeutics for HIV-1.</t>
  </si>
  <si>
    <t>[Madison, Marisa N.; Roller, Richard J.; Okeoma, Chioma M.] Univ Iowa, Carver Coll Med, Dept Microbiol, Iowa City, IA 52242 USA; [Okeoma, Chioma M.] Univ Iowa, Interdisciplinary Program Mol &amp; Cellular Biol, Iowa City, IA 52242 USA</t>
  </si>
  <si>
    <t>University of Iowa; University of Iowa</t>
  </si>
  <si>
    <t>Okeoma, CM (corresponding author), Univ Iowa, Carver Coll Med, Dept Microbiol, 51 Newton Rd, Iowa City, IA 52242 USA.</t>
  </si>
  <si>
    <t>chioma-okeoma@uiowa.edu</t>
  </si>
  <si>
    <t>Okeoma, Chioma/0000-0001-7737-6493; Roller, Richard/0000-0001-8340-3224</t>
  </si>
  <si>
    <t>1742-4690</t>
  </si>
  <si>
    <t>10.1186/s12977-014-0102-z</t>
  </si>
  <si>
    <t>WOS:000345706500001</t>
  </si>
  <si>
    <t>Liu, B; Pilarsky, C</t>
  </si>
  <si>
    <t>Dumitrescu, RG; Verma, M</t>
  </si>
  <si>
    <t>Liu, Bin; Pilarsky, Christian</t>
  </si>
  <si>
    <t>Analysis of DNA Hypermethylation in Pancreatic Cancer Using Methylation-Specific PCR and Bisulfite Sequencing</t>
  </si>
  <si>
    <t>CANCER EPIGENETICS FOR PRECISION MEDICINE: METHODS AND PROTOCOLS</t>
  </si>
  <si>
    <t>DNA hypermethylation; Pancreatic cancer; Methylation-specific PCR; Bisulfite sequencing; Plasma; Tissue samples</t>
  </si>
  <si>
    <t>NPTX2 HYPERMETHYLATION; DUCTAL ADENOCARCINOMA; MOLECULAR SUBTYPES; TUMOR-SUPPRESSOR; BIOMARKERS; GENE; EXOSOMES</t>
  </si>
  <si>
    <t>Pancreatic ductal adenocarcinoma (PDAC) is an aggressive tumor and the fourth common cause of cancer death in the Western world. The lack of effective therapeutic strategies is attributed to the late diagnosis of this disease. Methylation markers could improve early detection and help in the surveillance of PDAC after treatment. Analysis of hypermethylation in the tumor tissue and tumor-derived exosomes might help to identify new therapeutic strategies and aid in the understanding of the pathophysiological changes occurring in pancreatic cancer. There are several methods for the detection of methylation events. Whereas methylation-specific PCR (MSP-PCR) is the method of choice, the cost reductions in DNA sequencing enables researchers to add bisulfite sequencing (BSS) to their repertoire if a small number of genes will be tested in a larger set of patients' samples. During the last years, several techniques to isolate and analyze DNA methylation have been proposed, but DNA modification using sodium bisulfite is still the gold standard.</t>
  </si>
  <si>
    <t>[Liu, Bin; Pilarsky, Christian] Friedrich Alexander Univ Erlangen, Univ Klinikum Erlangen, Dept Surg, Erlangen, Germany</t>
  </si>
  <si>
    <t>University of Erlangen Nuremberg</t>
  </si>
  <si>
    <t>Liu, B (corresponding author), Friedrich Alexander Univ Erlangen, Univ Klinikum Erlangen, Dept Surg, Erlangen, Germany.</t>
  </si>
  <si>
    <t>Pilarsky, Christian/0000-0002-7968-3283; Liu, Bin/0000-0003-0407-6486</t>
  </si>
  <si>
    <t>978-1-4939-8751-1; 978-1-4939-8750-4</t>
  </si>
  <si>
    <t>10.1007/978-1-4939-8751-1_16</t>
  </si>
  <si>
    <t>10.1007/978-1-4939-8751-1</t>
  </si>
  <si>
    <t>WOS:000458615400017</t>
  </si>
  <si>
    <t>Wang, YM; Liu, JW; Adkins, GB; Shen, W; Trinh, MP; Duan, LY; Jiang, JH; Zhong, WW</t>
  </si>
  <si>
    <t>Wang, Yu-Min; Liu, Jin-Wen; Adkins, Gary Brent; Shen, Wen; Trinh, Michael Patrick; Duan, Lu-Ying; Jiang, Jian-Hui; Zhong, Wenwan</t>
  </si>
  <si>
    <t>Enhancement of the Intrinsic Peroxidase-Like Activity of Graphitic Carbon Nitride Nanosheets by ssDNAs and Its Application for Detection of Exosomes</t>
  </si>
  <si>
    <t>VISIBLE-LIGHT; EXTRACELLULAR VESICLES; ARTIFICIAL ENZYMES; CATALYTIC-ACTIVITY; GLUCOSE DETECTION; NANOPARTICLES; NANOZYMES; GRAPHENE; ASSAY; DNA</t>
  </si>
  <si>
    <t>The present work investigates the capability of single-stranded DNA (ssDNA) in enhancing the intrinsic peroxidase-like activity of the g-C3N4 nanosheets (NSs). We found that ssDNA adsorbed on g-C3N4 NSs could improve the catalytic activity of the nanosheets. The maximum reaction rate of the H2O2-mediated TMB oxidation catalyzed by the ssDNA-NSs hybrid was at least 4 times faster than that obtained with unmodified NSs. The activity enhancement could be attributed to the strong interaction between TMB and ssDNA mediated by electrostatic attraction and aromatic stacking and by both the length and base composition of the ssDNA. The high catalytic activity of the ssDNA-NSs hybrid permitted sensitive colorimetric detection of exosomes if the aptamer against CD63, a surface marker of exosome, was employed in hybrid construction. The sensor recognized the differential expression of CD63 between the exosomes produced by a breast cancer cell line (MCF-7) and a control cell line (MCF-10A). Moreover, a similar trend was detected in the circulating exosomes isolated from the sera samples collected from breast cancer patients and healthy controls. Our work sheds lights on the possibility of using ssDNA to enhance the peroxidase-like activity of nanomaterials and demonstrates the high potential of the ssDNA-NSs hybrid in clinical diagnosis using liquid biopsy.</t>
  </si>
  <si>
    <t>[Wang, Yu-Min; Liu, Jin-Wen; Duan, Lu-Ying; Jiang, Jian-Hui] Hunan Univ, Inst Chem Biol &amp; Nanomed, Coll Chem &amp; Chem Engn, State Key Lab Chemo Biosensing &amp; Chemometr, Changsha 410082, Hunan, Peoples R China; [Wang, Yu-Min; Adkins, Gary Brent; Shen, Wen; Trinh, Michael Patrick; Zhong, Wenwan] Univ Calif Riverside, Dept Chem, Riverside, CA 92521 USA</t>
  </si>
  <si>
    <t>Jiang, JH (corresponding author), Hunan Univ, Inst Chem Biol &amp; Nanomed, Coll Chem &amp; Chem Engn, State Key Lab Chemo Biosensing &amp; Chemometr, Changsha 410082, Hunan, Peoples R China.;Zhong, WW (corresponding author), Univ Calif Riverside, Dept Chem, Riverside, CA 92521 USA.</t>
  </si>
  <si>
    <t>jianhuijiang@hnu.edu.cn; wenwan.zhong@ucr.edu</t>
  </si>
  <si>
    <t>Jiang, Jian-Hui/K-2054-2012; Nanozymes, Nanozymes/D-8197-2019; Adkins, Gary/I-4827-2015</t>
  </si>
  <si>
    <t>Adkins, Gary/0000-0002-1568-7146</t>
  </si>
  <si>
    <t>10.1021/acs.analchem.7b03335</t>
  </si>
  <si>
    <t>WOS:000416498100061</t>
  </si>
  <si>
    <t>Rial, MJ; Canas, JA; Rodrigo-Munoz, JM; Valverde-Monge, M; Sastre, B; Sastre, J; del Pozo, V</t>
  </si>
  <si>
    <t>Rial, Manuel J.; Canas, Jose A.; Rodrigo-Munoz, Jose M.; Valverde-Monge, Marcela; Sastre, Beatriz; Sastre, Joaquin; del Pozo, Victoria</t>
  </si>
  <si>
    <t>Changes in Serum MicroRNAs after Anti-IL-5 Biological Treatment of Severe Asthma</t>
  </si>
  <si>
    <t>severe asthma; biomarkers; microRNAs; anti-IL5 biologics; mepolizumab; reslizumab</t>
  </si>
  <si>
    <t>There is currently enough evidence to think that miRNAs play a role in several key points in asthma, including diagnosis, severity of the disease, and response to treatment. Cells release different types of lipid double-membrane vesicles into the extracellular microenvironment, including exosomes, which function as very important elements in intercellular communication. They are capable of distributing genetic material, mRNA, mitochondrial DNA, and microRNAs (miRNAs). Serum miRNA screening was performed in order to analyze possible changes in serum miRNAs in 10 patients treated with reslizumab and 6 patients with mepolizumab after 8 weeks of treatment. The expression of miR-338-3p was altered after treatment (p &lt; 0.05), although no significant differences between reslizumab and mepolizumab were found. Bioinformatic analysis showed that miR-338-3p regulates important pathways in asthma, such as the MAPK and TGF-beta signaling pathways and the biosynthesis/degradation of glucans (p &lt; 0.05). However, it did not correlate with an improvement in lung function. MiRNA-338-3p could be used as a biomarker of early response to reslizumab and mepolizumab in severe eosinophilic asthmatic patients. In fact, this miRNA could be involved in airway remodeling, targeting genes related to MAPK and TGF-beta signaling pathways.</t>
  </si>
  <si>
    <t>[Rial, Manuel J.; Valverde-Monge, Marcela; Sastre, Joaquin] Hosp Univ Fdn Jimenez Diaz, Allergy Unit, Madrid 28040, Spain; [Rial, Manuel J.; Canas, Jose A.; Rodrigo-Munoz, Jose M.; Sastre, Beatriz; Sastre, Joaquin; del Pozo, Victoria] IIS Fdn Jimenez Diaz, Dept Immunol, Madrid 28040, Spain; [Canas, Jose A.; Rodrigo-Munoz, Jose M.; Sastre, Beatriz; Sastre, Joaquin; del Pozo, Victoria] Inst Salud Carlos III, CIBER Enfermedades Resp CIBERES, Madrid 28029, Spain</t>
  </si>
  <si>
    <t>Fundacion Jimenez Diaz; CIBER - Centro de Investigacion Biomedica en Red; CIBERES; Instituto de Salud Carlos III</t>
  </si>
  <si>
    <t>del Pozo, V (corresponding author), IIS Fdn Jimenez Diaz, Dept Immunol, Madrid 28040, Spain.;del Pozo, V (corresponding author), Inst Salud Carlos III, CIBER Enfermedades Resp CIBERES, Madrid 28029, Spain.</t>
  </si>
  <si>
    <t>manuterial@gmail.com; toniosego@msn.com; jose.rodrigom@quironsalud.es; marcela.valverde@quironsalud.es; bssastre@fjd.es; JSastre@fjd.es; vpozo@fjd.es</t>
  </si>
  <si>
    <t>Rial, Manuel/GMX-0468-2022; Rodrigo-Muñoz, José Manuel/AAA-8033-2020</t>
  </si>
  <si>
    <t>Rial, Manuel/0000-0003-4706-6608; Rodrigo-Muñoz, José Manuel/0000-0003-3873-4563; DEL POZO, VICTORIA/0000-0001-6228-1969; Valverde-Monge, Marcela/0000-0002-0172-3951; Canas, Jose Antonio/0000-0002-0460-2813</t>
  </si>
  <si>
    <t>10.3390/ijms22073558</t>
  </si>
  <si>
    <t>WOS:000638676900001</t>
  </si>
  <si>
    <t>Jiang, JQ; Yu, YQ; Zhang, H; Cai, CX</t>
  </si>
  <si>
    <t>Jiang, Juqian; Yu, Yongqi; Zhang, Hui; Cai, Chenxin</t>
  </si>
  <si>
    <t>Electrochemical aptasensor for exosomal proteins profiling based on DNA nanotetrahedron coupled with enzymatic signal amplification</t>
  </si>
  <si>
    <t>Electrochemical aptasensor; DNA nanotetrahedron; Exosome; Exosomal proteins profiling; Signal amplification</t>
  </si>
  <si>
    <t>NUCLEIC-ACIDS; GOLD NANOPARTICLES; CANCER-CELLS; I ENZYME; GRAPHENE; BIOSENSOR; SENSOR; FUNCTIONALIZATION; RECOGNITION; RELEASE</t>
  </si>
  <si>
    <t>Exosomes are extracellular nanovesicles for transferring and delivering membrane and cytosolic molecules between cells. Detection and profiling of exosomal proteins can provide direct information on disease progression, which is important to the early diagnosis and monitoring of diseases. Herein, a welldesigned electrochemical aptasensor was fabricated for the profiling of cancerous exosomal proteins based on DNA nanotetrahedron (NTH) coupled with Au nanoparticles (NPs) and enzymatic signal amplification. In this assay, the aptamer modified DNA NTHs were used as the recognition and capture unit, Au NPs-DNA conjugates coupled with horseradish peroxidase were used to realize signal amplification. This aptasensor achieves a detection limit down to 1.66 x 10(4) particles/mL for HepG2 liver cancer exosomes. In addition, the analysis of plasma-derived exosomes in HepG2 liver cancer bearing mice at different cancer stages was also achieved. More importantly, the aptasensor can be used to profile four kinds of exosomal proteins by using the corresponding aptamer. The proposed electrochemical aptasensor may be served as a potential platform for exosome detection and exosomal proteins profiling. (C) 2020 Elsevier B.V. All rights reserved.</t>
  </si>
  <si>
    <t>[Jiang, Juqian; Yu, Yongqi; Zhang, Hui; Cai, Chenxin] Nanjing Normal Univ, Coll Chem &amp; Mat Sci,Jiangsu Key Lab Biomed Mat, Jiangsu Collaborat Innovat Ctr Biomed Funct Mat, Natl &amp; Local Joint Engn Res Ctr Biomed Funct Mat, Nanjing 210097, Peoples R China</t>
  </si>
  <si>
    <t>Nanjing Normal University</t>
  </si>
  <si>
    <t>Zhang, H (corresponding author), Nanjing Normal Univ, Coll Chem &amp; Mat Sci,Jiangsu Key Lab Biomed Mat, Jiangsu Collaborat Innovat Ctr Biomed Funct Mat, Natl &amp; Local Joint Engn Res Ctr Biomed Funct Mat, Nanjing 210097, Peoples R China.</t>
  </si>
  <si>
    <t>zhangh@njnu.edu.cn</t>
  </si>
  <si>
    <t>, hui/0000-0002-1129-7706</t>
  </si>
  <si>
    <t>10.1016/j.aca.2020.07.012</t>
  </si>
  <si>
    <t>WOS:000569059300001</t>
  </si>
  <si>
    <t>Deubzer, HE; Eggert, A; Pajtler, KW</t>
  </si>
  <si>
    <t>Deubzer, H. E.; Eggert, A.; Pajtler, K. W.</t>
  </si>
  <si>
    <t>Liquid biopsies as a new diagnostic platform in pediatric oncology</t>
  </si>
  <si>
    <t>ONKOLOGE</t>
  </si>
  <si>
    <t>Circulating tumor-RNA; Cell-free tumor DNA; Circulating neoplastic cells; Single-cell analysis; Precision medicine</t>
  </si>
  <si>
    <t>Background Detailed characterization of the molecular tumor profile is a prerequisite for personalized oncology approaches. This profile is dynamic in nature and requires sequential analyses to closely monitor the patient during and after therapy. Objectives The goal was to investigate the potential of liquid biopsy analyses for improving diagnostics, therapy and follow-up of patients in pediatric hematology and oncology. Materials and methods The basic literature reflecting technology advances, preclinical and clinical studies is reviewed and expert opinions are presented. Results The analysis of tumor surrogates in liquid biopsies such as blood, saliva, cerebrospinal fluid and urine is less invasive than surgical biopsies and can be sequentially performed. The high temporal resolution achieved allows the likely detection of changes in the genetic fingerprint of a cancer. Initial studies indicated that liquid biopsies are capable of capturing the landscape of intratumoral heterogeneity in the primary tumor and the metastases at the (sub)clonal level, thus, outperforming the profile provided by a local surgical biopsy. In pediatric hematology and oncology, cell-free tumor DNA is currently the most studied molecule in liquid biopsies. Further tumor surrogates in liquid biopsies include RNA molecules, circulating tumor cells, extracellular vesicles, metabolites and proteins. Conclusions The technological advances of the last decade now enable the detection and characterization of the dynamic fingerprint of solid pediatric tumors in liquid biopsies. The potential of these analyses for initial diagnostics, disease monitoring, therapy decision-making and early detection of relapses during follow-up is currently under intense investigation within the framework of clinical studies in pediatric oncology.</t>
  </si>
  <si>
    <t>[Deubzer, H. E.; Eggert, A.] Charite Univ Med Berlin, Berlin, Germany; [Deubzer, H. E.] Charite Univ Med Berlin, Univ Med Berlin, Expt &amp; Clin Res Ctr, Berlin, Germany; [Deubzer, H. E.] Charite Univ Med Berlin, Max Delbruck Ctr Mol Med MDC, Berlin, Germany; [Deubzer, H. E.; Eggert, A.] German Canc Consortium DKTK, Partner Site Berlin, Berlin, Germany; [Deubzer, H. E.; Eggert, A.] Berliner Inst Gesundheitsforsch, Berlin, Germany; [Pajtler, K. W.] Hopp Childrens Canc Ctr Heidelberg KiTZ, Heidelberg, Germany; [Pajtler, K. W.] German Canc Res Ctr, Heidelberg, Germany; [Pajtler, K. W.] German Canc Consortium DKTK, Heidelberg, Germany; [Pajtler, K. W.] Univ Klinikum Heidelberg, Klin Padiat Onkol Hamatol Immunol &amp; Pulmonol, Heidelberg, Germany</t>
  </si>
  <si>
    <t>Free University of Berlin; Humboldt University of Berlin; Charite Universitatsmedizin Berlin; Free University of Berlin; Humboldt University of Berlin; Charite Universitatsmedizin Berlin; Free University of Berlin; Humboldt University of Berlin; Charite Universitatsmedizin Berlin; Helmholtz Association; Max Delbruck Center for Molecular Medicine; Helmholtz Association; German Cancer Research Center (DKFZ); Helmholtz Association; German Cancer Research Center (DKFZ); Helmholtz Association; German Cancer Research Center (DKFZ); Ruprecht Karls University Heidelberg</t>
  </si>
  <si>
    <t>Pajtler, KW (corresponding author), German Canc Res Ctr, Heidelberg, Germany.</t>
  </si>
  <si>
    <t>kristian.pajtler@med.uni-heidelberg.de</t>
  </si>
  <si>
    <t>Deubzer, Hedwig/0000-0002-6115-4893</t>
  </si>
  <si>
    <t>0947-8965</t>
  </si>
  <si>
    <t>1433-0415</t>
  </si>
  <si>
    <t>10.1007/s00761-021-00904-z</t>
  </si>
  <si>
    <t>WOS:000625040700006</t>
  </si>
  <si>
    <t>Vojtech, L; Woo, S; Hughes, S; Levy, C; Ballweber, L; Sauteraud, RP; Strobl, J; Westerberg, K; Gottardo, R; Tewari, M; Hladik, F</t>
  </si>
  <si>
    <t>Vojtech, Lucia; Woo, Sangsoon; Hughes, Sean; Levy, Claire; Ballweber, Lamar; Sauteraud, Renan P.; Strobl, Johanna; Westerberg, Katharine; Gottardo, Raphael; Tewari, Muneesh; Hladik, Florian</t>
  </si>
  <si>
    <t>Exosomes in human semen carry a distinctive repertoire of small non-coding RNAs with potential regulatory functions</t>
  </si>
  <si>
    <t>NUCLEIC ACIDS RESEARCH</t>
  </si>
  <si>
    <t>EXTRACELLULAR ORGANELLES PROSTASOMES; CHROMOSOMAL DNA-REPLICATION; MURINE LEUKEMIA-VIRUS; PIWI-INTERACTING RNAS; HUMAN SEMINAL PLASMA; DENDRITIC CELLS; T-CELLS; CIRCULATING MICRORNAS; LUPUS-ERYTHEMATOSUS; MEDIATED TRANSFER</t>
  </si>
  <si>
    <t>Semen contains relatively ill-defined regulatory components that likely aid fertilization, but which could also interfere with defense against infection. Each ejaculate contains trillions of exosomes, membrane-enclosed subcellular microvesicles, which have immunosuppressive effects on cells important in the genital mucosa. Exosomes in general are believed to mediate inter-cellular communication, possibly by transferring small RNA molecules. We found that seminal exosome (SE) preparations contain a substantial amount of RNA from 20 to 100 nucleotides (nts) in length. We sequenced 20-40 and 40-100 nt fractions of SE RNA separately from six semen donors. We found various classes of small non-coding RNA, including microRNA (21.7% of the RNA in the 20-40 nt fraction) as well as abundant Y RNAs and tRNAs present in both fractions. Specific RNAs were consistently present in all donors. For example, 10 (of similar to 2600 known) microRNAs constituted over 40% of mature microRNA in SE. Additionally, tRNA fragments were strongly enriched for 5'-ends of 18-19 or 30-34 nts in length; such tRNA fragments repress translation. Thus, SE could potentially deliver regulatory signals to the recipient mucosa via transfer of small RNA molecules.</t>
  </si>
  <si>
    <t>[Vojtech, Lucia; Hughes, Sean; Hladik, Florian] Univ Washington, Dept Obstet &amp; Gynecol, Seattle, WA 98195 USA; [Woo, Sangsoon; Levy, Claire; Ballweber, Lamar; Sauteraud, Renan P.; Strobl, Johanna; Westerberg, Katharine; Gottardo, Raphael; Hladik, Florian] Fred Hutchinson Canc Res Ctr, Vaccine &amp; Infect Dis Div, Seattle, WA 98104 USA; [Gottardo, Raphael; Tewari, Muneesh; Hladik, Florian] Univ Washington, Dept Med, Seattle, WA USA; [Tewari, Muneesh] Fred Hutchinson Canc Res Ctr, Human Biol Div, Seattle, WA 98104 USA</t>
  </si>
  <si>
    <t>University of Washington; University of Washington Seattle; Fred Hutchinson Cancer Center; University of Washington; University of Washington Seattle; Fred Hutchinson Cancer Center</t>
  </si>
  <si>
    <t>Vojtech, L (corresponding author), Univ Washington, Dept Obstet &amp; Gynecol, Seattle, WA 98195 USA.</t>
  </si>
  <si>
    <t>luciav@uw.edu; fhladik@fhcrc.org</t>
  </si>
  <si>
    <t>Hladik, Florian/G-1041-2012; Hladik, Florian/AAR-8852-2021</t>
  </si>
  <si>
    <t>Hladik, Florian/0000-0002-0375-2764; Hladik, Florian/0000-0002-0375-2764; Strobl, Johanna/0000-0003-3606-2185; Hughes, Sean/0000-0002-9409-9405; Vojtech, Lucia/0000-0003-2343-0719</t>
  </si>
  <si>
    <t>0305-1048</t>
  </si>
  <si>
    <t>1362-4962</t>
  </si>
  <si>
    <t>10.1093/nar/gku347</t>
  </si>
  <si>
    <t>WOS:000338769400048</t>
  </si>
  <si>
    <t>Chen, PC; Wu, DA; Hu, CJ; Chen, HY; Hsieh, YC; Huang, CC</t>
  </si>
  <si>
    <t>Chen, Po-Chih; Wu, Dean; Hu, Chaur-Jong; Chen, Hsin-Yi; Hsieh, Yi-Chen; Huang, Chi-Chen</t>
  </si>
  <si>
    <t>Exosomal TAR DNA-binding protein-43 and neurofilaments in plasma of amyotrophic lateral sclerosis patients: A longitudinal follow-up study</t>
  </si>
  <si>
    <t>JOURNAL OF THE NEUROLOGICAL SCIENCES</t>
  </si>
  <si>
    <t>Amyotrophic lateral sclerosis; Plasma; TDP-43; Exosome</t>
  </si>
  <si>
    <t>FRONTOTEMPORAL LOBAR DEGENERATION; PROGNOSTIC BIOMARKER; CONTROLLED-TRIAL; TDP-43; DIAGNOSIS; SECRETION; EFFICACY; CHAIN; ALS</t>
  </si>
  <si>
    <t>Objective: Amyotrophic lateral sclerosis (ALS) is a fatal motor neuron degenerative disease with characteristic of progressive general muscle weakness and atrophy. ALS is still lack of efficient treatment and laboratory biomarkers. In this study, we longitudinally examined ALS patients' peripheral blood to search potential biomarkers. 18 ALS patients aged between 20 and 65 years were recruited in a clinical trial and longitudinal plasma samples were obtained and analyzed at baseline, 1, 3, 6 and 12 months follow up. Neurofilament light chain (NFL), phosphorylated neurofilament heavy chain (pNFH) by ELISA and exosomal TAR DNA-binding protein-43 (TDP-43) ratio were measured by flow cytometry assay in isolated exosomes Results: Exosomal TDP-43 ratio significantly changed in 3-month (increased 60.8 +/- 18.9%, p = 0.0005) and 6-month (increased 60.2 +/- 32.6%, p = 0.0291) follow-up and close to significance at 12-month follow-up (increased 12.8 +/- 10.8%, p = 0.0524). When subclassifying patients into rapid and slow progression groups, NFL but not pNFH is significantly higher in the rapid progression group at baseline (22.74 +/- 1.66 pg/mL vs. 43.96 +/- 12.87 pg/mL, p = 0.0136) and at 3-month follow-up (28.40 +/- 3.39 pg/mL vs. 40.33 +/- 5.44 pg/mL, p = 0.0356). Conclusion: In this study, we found exosomal TDP-43 ratio was increasing along with follow-up at 3 and 6 months and NFL levels in plasma was associated with rapid progression in ALS patients. In addition to NFL, exosomal TDP-43 ratio might be a potential candidate of biomarkers for ALS long-term follow-up studies.</t>
  </si>
  <si>
    <t>[Chen, Po-Chih; Wu, Dean; Hu, Chaur-Jong] Taipei Med Univ, Shuang Ho Hosp, Neurol Dept, New Taipei, Taiwan; [Chen, Po-Chih; Wu, Dean; Hu, Chaur-Jong] Taipei Med Univ, Taipei Neurosci Inst, New Taipei, Taiwan; [Chen, Po-Chih; Hu, Chaur-Jong; Hsieh, Yi-Chen; Huang, Chi-Chen] Taipei Med Univ, Coll Med Sci &amp; Technol, PhD Program Neural Regenerat Med, 250 Wuxing St, Taipei 110, Taipei, Taiwan; [Chen, Po-Chih; Hu, Chaur-Jong; Hsieh, Yi-Chen; Huang, Chi-Chen] Natl Hlth Res Inst, 250 Wuxing St, Taipei 110, Taipei, Taiwan; [Chen, Po-Chih; Wu, Dean; Hu, Chaur-Jong] Taipei Med Univ, Coll Med, Sch Med, Dept Neurol, Taipei, Taiwan; [Hsieh, Yi-Chen] Taipei Med Univ, Coll Pharm, PhD Program Biotechnol Res &amp; Dev, Taipei, Taiwan; [Huang, Chi-Chen] Taipei Med Univ, Ctr Neurotrauma &amp; Neuroregenerat, Taipei, Taiwan; [Hsieh, Yi-Chen] Taipei Med Univ, Coll Publ Hlth, Master Program Appl Mol Epidemiol, Taipei, Taiwan; [Chen, Hsin-Yi] Taipei Med Univ, Grad Inst Canc Biol &amp; Drug Discovery, Taipei, Taiwan; [Chen, Hsin-Yi] Taipei Med Univ, PhD Program Canc Biol &amp; Drug Discovery, Taipei, Taiwan; [Hsieh, Yi-Chen; Huang, Chi-Chen] 291 Zhongzheng Rd, New Taipei 235, Taiwan</t>
  </si>
  <si>
    <t>Taipei Medical University; Shuang Ho Hospital; Taipei Medical University; National Health Research Institutes - Taiwan; Taipei Medical University; Taipei Medical University; Taipei Medical University; Taipei Medical University; Taipei Medical University; Taipei Medical University</t>
  </si>
  <si>
    <t>Hsieh, YC; Huang, CC (corresponding author), Taipei Med Univ, Coll Med Sci &amp; Technol, PhD Program Neural Regenerat Med, 250 Wuxing St, Taipei 110, Taipei, Taiwan.;Hsieh, YC; Huang, CC (corresponding author), Natl Hlth Res Inst, 250 Wuxing St, Taipei 110, Taipei, Taiwan.;Hsieh, YC; Huang, CC (corresponding author), 291 Zhongzheng Rd, New Taipei 235, Taiwan.</t>
  </si>
  <si>
    <t>ychsieh@tmu.edu.tw; hcc0609@tmu.edu.tw</t>
  </si>
  <si>
    <t>0022-510X</t>
  </si>
  <si>
    <t>1878-5883</t>
  </si>
  <si>
    <t>10.1016/j.jns.2020.117070</t>
  </si>
  <si>
    <t>WOS:000582930900005</t>
  </si>
  <si>
    <t>Sandgren, S; Wittrup, A; Cheng, F; Jonsson, M; Eklund, E; Busch, S; Belting, M</t>
  </si>
  <si>
    <t>The human antimicrobial peptide LL-37 transfers extracellular DNA plasmid to the nuclear compartment of mammalian cells via lipid rafts and proteoglycan-dependent endocytosis</t>
  </si>
  <si>
    <t>MEDIATED GENE-TRANSFER; HEPARAN-SULFATE; HOST-DEFENSE; INNATE IMMUNITY; HUMAN LUNG; ANTIBIOTICS; PROTEIN; SURFACE; GLYCOSAMINOGLYCANS; CATHELICIDINS</t>
  </si>
  <si>
    <t>Antimicrobial peptides, such as LL-37, are found both in nonvertebrates and vertebrates, where they represent important components of innate immunity. Bacterial infections at epithelial surfaces are associated with substantial induction of LL-37 expression, which allows efficient lysis of the invading microbes. Peptide-mediated lysis results in the release of bacterial nucleic acids with potential pathobiological activity in the host. Here, we demonstrate that LL-37 targets extracellular DNA plasmid to the nuclear compartment of mammalian cells, where it is expressed. DNA transfer occurred at physiological LL-37 concentrations that killed bacterial cells, whereas virtually no cytotoxic or growth-inhibitory effects were observed in mammalian cells. Furthermore, LL-37 protected DNA from serum nuclease degradation. LL-37.DNA complex uptake was a saturable time- and temperature-dependent process and was sensitive to cholesterol-depleting agents that are known to disrupt lipid rafts and caveolae, as shown by flow cytometry. Confocal fluorescence microscopy studies showed localization of internalized DNA to compartments stained by cholera toxin B, a marker of lipid rafts, but failed to demonstrate any co-localization of internalized DNA with caveolin-positive endocytotic vesicles. Moreover, LL-37-mediated plasmid uptake and reporter gene expression were strictly dependent on cell surface proteoglycans. We conclude that the human antimicrobial peptide LL-37 binds to, protects, and efficiently targets DNA plasmid to the nuclei of mammalian cells through caveolae-independent membrane raft endocytosis and cell surface proteoglycans.</t>
  </si>
  <si>
    <t>Lund Univ, Biomed Ctr C13, Dept Cell &amp; Mol Biol, Sect Cell &amp; Matrix Biol, SE-22184 Lund, Sweden</t>
  </si>
  <si>
    <t>Lund University</t>
  </si>
  <si>
    <t>Belting, M (corresponding author), Scripps Res Inst, Dept Immunol, C-204,105 50 N Torrey Pines Rd, La Jolla, CA 92037 USA.</t>
  </si>
  <si>
    <t>belting@scripps.edu</t>
  </si>
  <si>
    <t>Wittrup, Anders/0000-0003-4918-0500; Belting, Mattias/0000-0003-1585-5434</t>
  </si>
  <si>
    <t>APR 23</t>
  </si>
  <si>
    <t>10.1074/jbc.M311440200</t>
  </si>
  <si>
    <t>WOS:000220870400129</t>
  </si>
  <si>
    <t>Yang, LM; Yin, XH; An, B; Li, F</t>
  </si>
  <si>
    <t>Yang, Limin; Yin, Xuehan; An, Bin; Li, Feng</t>
  </si>
  <si>
    <t>Precise Capture and Direct Quantification of Tumor Exosomes via a Highly Efficient Dual-Aptamer Recognition-Assisted Ratiometric Immobilization-Free Electrochemical Strategy</t>
  </si>
  <si>
    <t>Tumor exosomes are promising biomarkers for early cancer diagnosis in a noninvasive manner. However, precise capture and direct analysis of tumor-specific exosomes in complex biological samples are still challenging. Herein, we present a highly efficient dual-aptamer recognition system for precisely isolating and quantifying tumor exosomes from the complex biological environment based on hyperbranched DNA superstructure-facilitated signal amplification and ratiometric dual-signal strategies. When tumor exosomes were captured by the dual-aptamer recognition system, the cholesterol-modified DNA probe was anchored on the surface of the exosomes, activating DNA tetrahedron-based hyperbranched hybridization chain reaction to generate a sandwich complex. Then, the sandwich complex could bind a large number of Ru(NH3)(6)(3+) (Ru(III)), leading to a small amount of unbound Ru(III) left in the supernatant after magnetic separation. Hence, the redox reaction between Ru(II) and [Fe(CN)(6)](3-) (Fe(III)) was significantly prevented, causing an obviously enhanced I-Fe(III)/I-Ru(III) value. Consequently, highly sensitive detection of tumor exosomes was achieved. The developed approach successfully realized direct isolation and analysis of tumor exosomes in complex sample media and human serum samples as well. More significantly, this ratiometric dual-signal mode and immobilization-free strategy effectively circumvented the systematic errors caused by external factors and the tedious probe immobilization processes, thus displaying the excellent performances of high reliability, improved accuracy, and easy manipulation. Overall, this approach is expected to offer novel ways for nondestructive early cancer diagnosis.</t>
  </si>
  <si>
    <t>[Yang, Limin; Yin, Xuehan; An, Bin; Li, Feng] Qingdao Agr Univ, Coll Chem &amp; Pharmaceut Sci, Qingdao 266109, Peoples R China</t>
  </si>
  <si>
    <t>Qingdao Agricultural University</t>
  </si>
  <si>
    <t>Li, F (corresponding author), Qingdao Agr Univ, Coll Chem &amp; Pharmaceut Sci, Qingdao 266109, Peoples R China.</t>
  </si>
  <si>
    <t>lifeng@qau.edu.cn</t>
  </si>
  <si>
    <t>JAN 26</t>
  </si>
  <si>
    <t>10.1021/acs.analchem.0c04308</t>
  </si>
  <si>
    <t>WOS:000613922400065</t>
  </si>
  <si>
    <t>Pieragostino, D; Lanzini, M; Cicalini, I; Cufaro, MC; Damiani, V; Mastropasqua, L; De Laurenzi, V; Nubile, M; Lanuti, P; Bologna, G; Agnifili, L; Del Boccio, P</t>
  </si>
  <si>
    <t>Pieragostino, Damiana; Lanzini, Manuela; Cicalini, Ilaria; Cufaro, Maria Concetta; Damiani, Verena; Mastropasqua, Leonardo; De Laurenzi, Vincenzo; Nubile, Mario; Lanuti, Paola; Bologna, Giuseppina; Agnifili, Luca; Del Boccio, Piero</t>
  </si>
  <si>
    <t>Tear proteomics reveals the molecular basis of the efficacy of human recombinant nerve growth factor treatment for Neurotrophic Keratopathy</t>
  </si>
  <si>
    <t>BIOMARKERS; PROTEIN; STRESS</t>
  </si>
  <si>
    <t>Neurotrophic Keratopathy (NK), classified as an orphan disease (ORPHA137596), is a rare degenerative corneal disease characterized by epithelial instability and decreased corneal sensitivity caused by the damage to the corneal nerves. The administration of human recombinant nerve growth factor (rhNGF) eye drops, as a licensed-in-Europe specific medication for treatment of moderate and severe NK, has added promising perspectives to the management of this disorder by providing a valid alternative to the neurotization surgery. However, few studies have been conducted to the molecular mechanism underlying the response to the treatment. Here, we carried out tears proteomics to highlight the protein expression during pharmacological treatment of NK (Data are available via ProteomeXchange with identifier PXD025408).Our data emphasized a proteome modulation during rhNGF treatment related to an increase in DNA synthesis, an activation of both BDNF signal and IL6 receptor. Furthermore, the amount of neuronal Extracellular Vesicles EVs (CD171+) correlated with the EVs carrying IL6R (CD126+) together associated to the inflammatory EVs (CD45+) in tears. Such scenario determined drug response, confirmed by an in vivo confocal microscopy analysis, showing an increase in length, density and number of nerve fiber branches during treatment. In summary, rhNGF treatment seems to determine an inflammatory micro-environment, mediated by functionalized EVs, defining the drug response by stimulating protein synthesis and fiber regeneration.</t>
  </si>
  <si>
    <t>[Pieragostino, Damiana; Cicalini, Ilaria; Cufaro, Maria Concetta; Damiani, Verena; De Laurenzi, Vincenzo; Lanuti, Paola; Bologna, Giuseppina; Del Boccio, Piero] Univ G dAnnunzio, Ctr Adv Studies &amp; Technol CAST, Chieti, Italy; [Pieragostino, Damiana; Cicalini, Ilaria; Damiani, Verena; De Laurenzi, Vincenzo] Univ G dAnnunzio, Dept Innovat Technol Med &amp; Dent, Chieti, Italy; [Lanzini, Manuela; Mastropasqua, Leonardo; Nubile, Mario; Lanuti, Paola; Bologna, Giuseppina; Agnifili, Luca] G dAnnunzio Univ Chieti Pescara, Dept Med &amp; Aging Sci, Chieti, Italy; [Lanzini, Manuela; Mastropasqua, Leonardo; Nubile, Mario; Agnifili, Luca] Univ G dAnnunzio, Natl Ctr High Technol CNAT Ophthalmol, Ophthalmol Clin, Chieti, Italy; [Cufaro, Maria Concetta; Del Boccio, Piero] Univ G dAnnunzio, Dept Pharm, Chieti, Italy</t>
  </si>
  <si>
    <t>G d'Annunzio University of Chieti-Pescara; G d'Annunzio University of Chieti-Pescara; G d'Annunzio University of Chieti-Pescara; G d'Annunzio University of Chieti-Pescara; G d'Annunzio University of Chieti-Pescara</t>
  </si>
  <si>
    <t>Pieragostino, D (corresponding author), Univ G dAnnunzio, Ctr Adv Studies &amp; Technol CAST, Chieti, Italy.;Pieragostino, D (corresponding author), Univ G dAnnunzio, Dept Innovat Technol Med &amp; Dent, Chieti, Italy.</t>
  </si>
  <si>
    <t>damiana.pieragostino@unich.it</t>
  </si>
  <si>
    <t>Cufaro, Maria Concetta/0000-0002-6457-7795</t>
  </si>
  <si>
    <t>JAN 24</t>
  </si>
  <si>
    <t>10.1038/s41598-022-05229-4</t>
  </si>
  <si>
    <t>WOS:000746700700043</t>
  </si>
  <si>
    <t>Pasini, L; Notarangelo, M; Vagheggini, A; Burgio, MA; Crino, L; Chiadini, E; Prochowski, AI; Delmonte, A; Ulivi, P; D'Agostino, VG</t>
  </si>
  <si>
    <t>Pasini, Luigi; Notarangelo, Michela; Vagheggini, Alessandro; Burgio, Marco Angelo; Crino, Lucio; Chiadini, Elisa; Prochowski, Andrea Iamurri; Delmonte, Angelo; Ulivi, Paola; D'Agostino, Vito Giuseppe</t>
  </si>
  <si>
    <t>Unveiling mutational dynamics in non-small cell lung cancer patients by quantitative EGFR profiling in vesicular RNA</t>
  </si>
  <si>
    <t>MOLECULAR ONCOLOGY</t>
  </si>
  <si>
    <t>EGFR; extracellular vesicles; liquid biopsy; NSCLC; RNA</t>
  </si>
  <si>
    <t>TYROSINE KINASE INHIBITORS; NICKEL-BASED ISOLATION; CIRCULATING TUMOR DNA; DROPLET DIGITAL PCR; EXTRACELLULAR VESICLES; 1ST-LINE TREATMENT; LIQUID BIOPSY; OPEN-LABEL; PLASMA; NSCLC</t>
  </si>
  <si>
    <t>The mutational status of the epidermal growth factor receptor (EGFR) guides the stratification of non-small cell lung cancer (NSCLC) patients for treatment with tyrosine kinase inhibitors (TKIs). A liquid biopsy test on cell-free DNA is recommended as a clinical decision-supporting tool, although it has limited sensitivity. Here, we comparatively investigated the extracellular vesicle (EV)-RNA as an independent source for multidimensional and longitudinal EGFR profiling in a cohort of 27 NSCLC patients. We introduced and validated a new rapid, highly specific EV-RNA test with wild-type (WT) and mutant-sensitive probes (E746-A750del, L858R, and T790M). We included a cohort of 20 NSCLC patients with EGFR WT tumor tissues and systematically performed molecular EV-RNA and circulating tumor DNA analyses with clinical data statistics and biophysical profiles of EVs. At the single-patient level, we detected variegated tumor heterogeneity dynamics supported by combinations of driver EGFR mutations. EV-RNA-based mutation analysis showed an unprecedented sensitivity of over 90%. The resistance-associated mutation T790M frequently pre-existed at baseline with a gained EV-transcript copy number at progression, while the general mutational burden was mostly decreasing during the intermediate follow-up. The biophysical profile of EVs and the quantitative assessment of T790M revealed an association with tumor size determined by the sum of the longest diameters in target lesions. Vesicular RNA provides a validated tool suitable for use in clinical practice to investigate the dynamics of common driver EGFR mutations in NSCLC patients receiving TKIs.</t>
  </si>
  <si>
    <t>[Pasini, Luigi; Chiadini, Elisa; Ulivi, Paola] IRCCS Ist Romagnolo Studio Tumori IRST Dino Amado, Biosci Lab, Meldola, Italy; [Notarangelo, Michela; D'Agostino, Vito Giuseppe] Univ Trento, Dept Cellular Computat &amp; Integrat Biol CIBIO, Lab Biotechnol &amp; Nanomed, Via Sommarive 9, I-38123 Trento, Italy; [Vagheggini, Alessandro] IRCCS Ist Romagnolo Studio Tumori IRST Dino Amado, Unit Biostat, Meldola, Italy; [Burgio, Marco Angelo; Crino, Lucio; Delmonte, Angelo] IRCCS Ist Romagnolo Studio Tumori IRST Dino Amado, Med Oncol Unit, Meldola, Italy; [Prochowski, Andrea Iamurri] IRCCS Ist Romagnolo Studio Tumori IRST Dino Amado, Radiol Unit, Meldola, Italy</t>
  </si>
  <si>
    <t>University of Trento</t>
  </si>
  <si>
    <t>D'Agostino, VG (corresponding author), Univ Trento, Dept Cellular Computat &amp; Integrat Biol CIBIO, Lab Biotechnol &amp; Nanomed, Via Sommarive 9, I-38123 Trento, Italy.;Ulivi, P (corresponding author), Ist Romagnolo Studio Tumori Dino Amadori IRST IRC, Biosci Lab, Translat Oncol Unit, Via P Maroncelli 40, I-47014 Meldola, Italy.</t>
  </si>
  <si>
    <t>paola.ulivi@irst.emr.it; paola.ulivi@irst.emr.it; vito.dagostino@unitn.it</t>
  </si>
  <si>
    <t>Chiadini, Elisa/AAC-3742-2022; Notarangelo, Michela/AEQ-9394-2022</t>
  </si>
  <si>
    <t>Notarangelo, Michela/0000-0003-3400-4440; D'AGOSTINO, VITO/0000-0003-3379-2254</t>
  </si>
  <si>
    <t>1574-7891</t>
  </si>
  <si>
    <t>1878-0261</t>
  </si>
  <si>
    <t>10.1002/1878-0261.12976</t>
  </si>
  <si>
    <t>WOS:000652361600001</t>
  </si>
  <si>
    <t>Nikitina, IG; Sabirova, EY; Solopova, ON; Surzhikov, SA; Grineva, EN; Karpov, VL; Lisitsyn, NA; Beresten, SF</t>
  </si>
  <si>
    <t>Nikitina, I. G.; Sabirova, E. Yu.; Solopova, O. N.; Surzhikov, S. A.; Grineva, E. N.; Karpov, V. L.; Lisitsyn, N. A.; Beresten, S. F.</t>
  </si>
  <si>
    <t>A new immuno-PCR format for serological diagnosis of colon cancer</t>
  </si>
  <si>
    <t>tumor exosomes; immuno-PCR; DNA reporter; homoprimer; colon cancer</t>
  </si>
  <si>
    <t>ANTIGEN-DETECTION; EXOSOMES</t>
  </si>
  <si>
    <t>A new immuno-PCR format based on the detection of CDH17 membrane protein in serum exosomes is proposed. Using the technique described, it was possible to distinguish between serum specimens obtained from healthy donors and colon cancer patients. The results suggest that the new technique may enable the serological diagnosis of colon cancer in high-risk groups.</t>
  </si>
  <si>
    <t>[Nikitina, I. G.; Sabirova, E. Yu.; Surzhikov, S. A.; Grineva, E. N.; Karpov, V. L.; Lisitsyn, N. A.; Beresten, S. F.] Russian Acad Sci, Engelhardt Inst Mol Biol, Moscow 119991, Russia; [Solopova, O. N.] All Russia Sci Ctr Mol Diagnost &amp; Treatment, Moscow 117638, Russia</t>
  </si>
  <si>
    <t>Russian Academy of Sciences; Engelhardt Institute of Molecular Biology, RAS</t>
  </si>
  <si>
    <t>Nikitina, IG (corresponding author), Russian Acad Sci, Engelhardt Inst Mol Biol, Moscow 119991, Russia.</t>
  </si>
  <si>
    <t>sberesten@gmail.com</t>
  </si>
  <si>
    <t>Karpov, Vadim/G-7932-2014; Lisitsyn, Nikolai/AAO-7011-2021; Solopova, Olga/H-9982-2018</t>
  </si>
  <si>
    <t>Grineva, Evgeniya/0000-0002-3099-3029; Surzhikov, Sergey/0000-0002-6043-1182; Solopova, Olga/0000-0002-5465-6094</t>
  </si>
  <si>
    <t>10.1134/S0026893313060095</t>
  </si>
  <si>
    <t>WOS:000332024300012</t>
  </si>
  <si>
    <t>Lolomadze, EA; Kometova, VV; Rodionov, VV</t>
  </si>
  <si>
    <t>Lolomadze, E. A.; Kometova, V. V.; Rodionov, V. V.</t>
  </si>
  <si>
    <t>CIRCULATING RNA IN BLOOD PLASMA AS DIAGNOSTIC TOOL FOR CLINICAL ONCOLOGY</t>
  </si>
  <si>
    <t>BULLETIN OF RUSSIAN STATE MEDICAL UNIVERSITY</t>
  </si>
  <si>
    <t>circulating nucleic acids; blood plasma; circulating tumor cells; circulating RNA; miRNA; biomarkers; oncology</t>
  </si>
  <si>
    <t>HTERT MESSENGER-RNA; BREAST-CANCER PATIENTS; MICROSATELLITE ALTERATIONS; MATERNAL PLASMA; PROSTATE-CANCER; FETAL DNA; MICRORNAS; QUANTIFICATION; MUTATIONS; DISEASE</t>
  </si>
  <si>
    <t>One of the key challenges facing today's oncology is the discovery of early predictors of malignant neoplasms in patients' biological samples. Liquid biopsy is a noninvasive diagnostic technique based on the detection and isolation of tumor cells, tumor-derived nucleic acid and exosomes circulating in the blood plasma of cancer patients. There is a plethora of research studies of circulating tumor DNA in patients with MN. The active proliferation of tumor cells occurs in the backdrop of altered gene expression. The presence of tissue-specific transcripts in the circulating RNA fraction suggests that levels of circulating RNA reflect the development of the primary tumor. We think that cell-free RNA circulating in the blood plasma is a promising molecular biomarker for early cancer detection.</t>
  </si>
  <si>
    <t>[Lolomadze, E. A.; Kometova, V. V.; Rodionov, V. V.] Kulakov Natl Med Res Ctr Obstet Gynecol &amp; Perinat, Moscow, Russia</t>
  </si>
  <si>
    <t>Lolomadze, EA (corresponding author), Oparina 4, Moscow 117997, Russia.</t>
  </si>
  <si>
    <t>6332424@gmail.com</t>
  </si>
  <si>
    <t>Lolomadze, Elena/T-6101-2017</t>
  </si>
  <si>
    <t>Lolomadze, Elena/0000-0001-5611-7345</t>
  </si>
  <si>
    <t>2500-1094</t>
  </si>
  <si>
    <t>2542-1204</t>
  </si>
  <si>
    <t>MAY-JUN</t>
  </si>
  <si>
    <t>10.24075/brsmu.2020.040</t>
  </si>
  <si>
    <t>WOS:000549104300001</t>
  </si>
  <si>
    <t>He, JT; Ren, M; Li, HQ; Yang, L; Wang, XF; Yang, QW</t>
  </si>
  <si>
    <t>He, Jinting; Ren, Ming; Li, Haiqi; Yang, Le; Wang, Xiaofeng; Yang, Qiwei</t>
  </si>
  <si>
    <t>Exosomal Circular RNA as a Biomarker Platform for the Early Diagnosis of Immune-Mediated Demyelinating Disease</t>
  </si>
  <si>
    <t>exosome; circular RNA; immune-mediated demyelinating disease; cerebrospinal fluid; biomarker</t>
  </si>
  <si>
    <t>EXPRESSION</t>
  </si>
  <si>
    <t>Exosomes can pass through the blood-brain barrier and are present in the cerebrospinal fluid (CSF). The components in exosomes, such as DNA, RNA, protein, and lipids, change greatly and are closely related to disease progression. Circular RNA (circRNA) is stable in structure and has a long half-life in exosomes without degradation. Therefore, circRNA is considered an ideal biomarker and can be used to monitor a variety of central nervous system diseases. This study aimed to investigate the expression profiles of exosomal circRNA (exo-circRNA) in CSF from patients with immune-mediated demyelinating diseases to identify suitable biomarkers for the early diagnosis of immune-mediated demyelinating diseases. circRNA expression levels in exosomes obtained from five CSF samples from immune-mediated demyelinating disease patients and five paired CSF control samples were analyzed using a hybridization array. Hierarchical clustering analysis showed that 5,095 exo-circRNAs were differentially expressed between patients with immune-mediated demyelinating diseases and paired control samples. Of these exo-circRNAs, 26 were identified as significantly differentially expressed in CSF exosomes from patients with immune-mediated demyelinating diseases (FC &gt;= 1.5 and p &lt;= 0.05). Gene Ontology and Kyoto Encyclopedia of Genes and Genomes enrichment analysis indicated that the upregulation or activation of protein tyrosine phosphatase receptor type F (PTPRF) and RAD23 homolog B, nucleotide excision repair protein (RAD23B) may be associated with the occurrence and development of immune-mediated demyelinating diseases. Then, a competing endogenous RNA network was constructed and centered on the most upregulated/downregulated exo-circRNAs to predict their function in immune-mediated demyelinating diseases. In addition, reverse transcription quantitative polymerase chain reaction results stating that hsa_circ_0087862 and hsa_circ_0012077 were validated in an independent cohort of subjects. Canonical correlation analysis results indicated a potential connection between exosomal hsa_circ_0012077 expression level and immunoglobulin G levels in CSF. Finally, the receiver operating characteristic (ROC) curve showed that when hsa_circ_0087862 or hsa_circ_0012077 was employed alone for diagnosing immune-mediated demyelinating diseases, the diagnostic accuracy was 100%. In conclusion, based on this study, exosomal hsa_circ_0087862 and hsa_circ_0012077 in CSF could be used as suitable biomarkers for the diagnosis of immune-mediated demyelinating disease based on their expression levels. Moreover, the upregulation or activation of PTPRF and RAD23B was potentially associated with the occurrence and development of immune-mediated demyelinating diseases.</t>
  </si>
  <si>
    <t>[He, Jinting; Li, Haiqi] Jilin Univ, China Japan Union Hosp, Dept Neurol, Changchun, Jilin, Peoples R China; [Ren, Ming; Yang, Qiwei] Jilin Univ, Hosp 2, Med Res Ctr, Jilin Prov Key Lab Mol &amp; Chem Genet, Changchun, Jilin, Peoples R China; [Ren, Ming] Jilin Univ, Hosp 2, Dept Orthoped, Changchun, Jilin, Peoples R China; [Yang, Le] Peoples Hosp Jilin Prov, Dept Endocrinol, Changchun, Jilin, Peoples R China; [Wang, Xiaofeng] Jilin Univ, China Japan Union Hosp, Dept Stomatol, Changchun, Jilin, Peoples R China</t>
  </si>
  <si>
    <t>Jilin University; Jilin University; Jilin University; Jilin University</t>
  </si>
  <si>
    <t>Yang, QW (corresponding author), Jilin Univ, Hosp 2, Med Res Ctr, Jilin Prov Key Lab Mol &amp; Chem Genet, Changchun, Jilin, Peoples R China.;Wang, XF (corresponding author), Jilin Univ, China Japan Union Hosp, Dept Stomatol, Changchun, Jilin, Peoples R China.</t>
  </si>
  <si>
    <t>xiaofeng2238@sina.com; yangqw@jiu.edu.cn</t>
  </si>
  <si>
    <t>Yang, Qiwei/0000-0003-0681-2184</t>
  </si>
  <si>
    <t>SEP 27</t>
  </si>
  <si>
    <t>10.3389/fgene.2019.00860</t>
  </si>
  <si>
    <t>WOS:000488084400001</t>
  </si>
  <si>
    <t>Wang, Y; Cai, QY; Chen, JN; Huang, ZH; Wu, WB; Yuan, MJ; Yang, K</t>
  </si>
  <si>
    <t>Wang, Yan; Cai, Qingyun; Chen, Jiannan; Huang, Zhihong; Wu, Wenbi; Yuan, Meijin; Yang, Kai</t>
  </si>
  <si>
    <t>Autographa Californica Multiple Nucleopolyhedrovirus P48 (Ac103) Is Required for the Efficient Formation of Virus-Induced Intranuclear Microvesicles</t>
  </si>
  <si>
    <t>VIROLOGICA SINICA</t>
  </si>
  <si>
    <t>P48; Baculovirus; Intranuclear microvesicle formation; Protein association; Ac93</t>
  </si>
  <si>
    <t>OCCLUSION-DERIVED-VIRUS; NUCLEAR POLYHEDROSIS-VIRUS; BUDDED-VIRUS; BV PRODUCTION; DNA-SEQUENCE; CORE GENE; PROTEIN; EXPRESSION; DELETION; EGRESS</t>
  </si>
  <si>
    <t>Our previous study has shown that the Autographa californica multiple nucleopolyhedrovirus (AcMNPV) p48 (ac103) gene is essential for the nuclear egress of nucleocapsids and the formation of occlusion-derived virions (ODVs). However, the exact role of p48 in the morphogenesis of ODVs remains unknown. In this study, we demonstrated that p48 was required for the efficient formation of intranuclear microvesicles. To further understand its functional role in intranuclear microvesicle formation, we characterized the distribution of the P48 protein, which was found to be associated with the nucleocapsid and envelope fractions of both budded virions and ODVs. In AcMNPV-infected cells, P48 was predominantly localized to nucleocapsids in the virogenic stroma and the nucleocapsids enveloped in ODVs, with a limited but discernible distribution in the plasma membrane, nuclear envelope, intranuclear microvesicles, and ODV envelope. Furthermore, coimmunoprecipitation assays showed that among the viral proteins required for intranuclear microvesicle formation, P48 associated with Ac93 in the absence of viral infection.</t>
  </si>
  <si>
    <t>[Wang, Yan; Cai, Qingyun; Chen, Jiannan; Huang, Zhihong; Wu, Wenbi; Yuan, Meijin; Yang, Kai] Sun Yat Sen Univ, State Key Lab Biocontrol, Guangzhou 510275, Guangdong, Peoples R China</t>
  </si>
  <si>
    <t>Sun Yat Sen University</t>
  </si>
  <si>
    <t>Yuan, MJ (corresponding author), Sun Yat Sen Univ, State Key Lab Biocontrol, Guangzhou 510275, Guangdong, Peoples R China.</t>
  </si>
  <si>
    <t>lssymj@mail.sysu.edu.cn</t>
  </si>
  <si>
    <t>1674-0769</t>
  </si>
  <si>
    <t>1995-820X</t>
  </si>
  <si>
    <t>10.1007/s12250-019-00147-8</t>
  </si>
  <si>
    <t>WOS:000500088400011</t>
  </si>
  <si>
    <t>Koga, T; Li, B; Figueroa, JM; Ren, B; Chen, CC; Carter, BS; Furnari, FB</t>
  </si>
  <si>
    <t>Koga, Tomoyuki; Li, Bin; Figueroa, Javier M.; Ren, Bing; Chen, Clark C.; Carter, Bob S.; Furnari, Frank B.</t>
  </si>
  <si>
    <t>Mapping of genomic EGFRvIII deletions in glioblastoma: insight into rearrangement mechanisms and biomarker development</t>
  </si>
  <si>
    <t>EGFR; EGFRvIII; genomic rearrangement; glioblastoma; liquid biopsy</t>
  </si>
  <si>
    <t>GROWTH-FACTOR-RECEPTOR; EXTRACELLULAR VESICLES; CEREBROSPINAL-FLUID; LIQUID BIOPSY; HUMAN GLIOMAS; DNA; AMPLIFICATION; GENE; HETEROGENEITY; MICRONUCLEI</t>
  </si>
  <si>
    <t>Background. Epidermal growth factor receptor (EGFR) variant III (vIII) is the most common oncogenic rearrangement in glioblastoma (GBM), generated by deletion of exons 2 to 7 of EGFR. The proximal breakpoints occur in variable positions within the 123-kb intron 1, presenting significant challenges in terms of polymerase chain reaction (PCR)-based mapping. Molecular mechanisms underlying these deletions remain unclear. Methods. We determined the presence of EGFRvIII and its breakpoints for 29 GBM samples using quantitative PCR, arrayed PCR mapping, Sanger sequencing, and whole genome sequencing (WGS). Patient-specific breakpoint PCR was performed on tumors, plasma, and cerebrospinal fluid (CSF) samples. The breakpoint sequences and single nucleotide polymorphisms (SNPs) were analyzed to elucidate the underlying biogenic mechanism. Results. PCR mapping and WGS independently unveiled 8 EGFRvIII breakpoints in 6 tumors. Patient-specific primers yielded EGFRvIII PCR amplicons in matched tumors and in cell-free DNA (cfDNA) from a CSF sample, but not in cfDNA or extracellular-vesicle DNA from plasma. The breakpoint analysis revealed nucleotide insertions in 4 samples, an insertion of a region outside of the EGFR locus in 1, microhomologies in 3, as well as a duplication or an inversion accompanied by microhomologies in 2, suggestive of distinct DNA repair mechanisms. In the GBM samples that harbored distinct breakpoints, the SNP compositions of EGFRvIII and amplified non-vIII EGFR were identical, suggesting that these rearrangements arose from amplified non-vIII EGFR. Conclusion. Our approach efficiently fingerprints each sample's EGFRvIII breakpoints. Breakpoint sequence analyses suggest that independent breakpoints arose from precursor amplified non-vIII EGFR through different DNA repair mechanisms.</t>
  </si>
  <si>
    <t>[Koga, Tomoyuki; Li, Bin; Ren, Bing; Furnari, Frank B.] Univ Calif San Diego, Ludwig Canc Res, La Jolla, CA 92093 USA; [Figueroa, Javier M.; Chen, Clark C.; Carter, Bob S.] Univ Calif San Diego, Dept Neurosurg, La Jolla, CA 92093 USA; [Chen, Clark C.] Univ Minnesota, Dept Neurosurg, Minneapolis, MN 55455 USA; [Carter, Bob S.] Harvard Med Sch, Dept Neurosurg, Boston, MA USA</t>
  </si>
  <si>
    <t>University of California System; University of California San Diego; University of California System; University of California San Diego; University of Minnesota System; University of Minnesota Twin Cities; Harvard University; Harvard Medical School</t>
  </si>
  <si>
    <t>Furnari, FB (corresponding author), Univ Calif San Diego, Sch Med, Ludwig Inst Canc Res, 9500 Gilman Dr CMM East Rm 3055, La Jolla, CA 92093 USA.</t>
  </si>
  <si>
    <t>ffurnari@ucsd.edu</t>
  </si>
  <si>
    <t>Carter, Bob/0000-0002-3586-1324; Koga, Tomoyuki/0000-0002-8330-117X</t>
  </si>
  <si>
    <t>10.1093/neuonc/noy058</t>
  </si>
  <si>
    <t>WOS:000443563000006</t>
  </si>
  <si>
    <t>Huang, ZP; Lin, QY; Yang, B; Ye, X; Chen, H; Weng, WH; Kong, JL</t>
  </si>
  <si>
    <t>Huang, Zhipeng; Lin, Qiuyuan; Yang, Bin; Ye, Xin; Chen, Hui; Weng, Wenhao; Kong, Jilie</t>
  </si>
  <si>
    <t>Cascade signal amplification for sensitive detection of exosomes by integrating tyramide and surface-initiated enzymatic polymerization</t>
  </si>
  <si>
    <t>CHEMICAL COMMUNICATIONS</t>
  </si>
  <si>
    <t>GOLD NANOPARTICLES; DNA; HYBRIDIZATION; DEPOSITION; CHIP</t>
  </si>
  <si>
    <t>A novel cascade signal amplification based on tyramide signal amplification (TSA) and surface-initiated enzymatic polymerization (SIEP) was first reported for the sensitive and template-free detection of colorectal cancer (CRC) exosomes. This assay exhibited 20.9-fold signal amplification with a low detection limit of 12.8 particles per mu L. Furthermore, accurate and reproducible results were obtained for detecting exosomes in serum samples, suggesting its potential application in exosomes analysis and clinical diagnostics.</t>
  </si>
  <si>
    <t>[Huang, Zhipeng; Lin, Qiuyuan; Yang, Bin; Ye, Xin; Chen, Hui; Kong, Jilie] Fudan Univ, Dept Chem, Shanghai 200438, Peoples R China; [Weng, Wenhao] Tongji Univ, Yangpu Hosp, Dept Clin Lab, Sch Med, Shanghai 200090, Peoples R China</t>
  </si>
  <si>
    <t>Chen, H; Kong, JL (corresponding author), Fudan Univ, Dept Chem, Shanghai 200438, Peoples R China.;Weng, WH (corresponding author), Tongji Univ, Yangpu Hosp, Dept Clin Lab, Sch Med, Shanghai 200090, Peoples R China.</t>
  </si>
  <si>
    <t>1359-7345</t>
  </si>
  <si>
    <t>1364-548X</t>
  </si>
  <si>
    <t>OCT 28</t>
  </si>
  <si>
    <t>10.1039/d0cc04881j</t>
  </si>
  <si>
    <t>WOS:000580724600019</t>
  </si>
  <si>
    <t>Qiao, B; Guo, QQ; Jiang, JQ; Qi, YL; Zhang, H; He, BS; Cai, CX; Shen, J</t>
  </si>
  <si>
    <t>Qiao, Bin; Guo, Qunqun; Jiang, Juqian; Qi, Yunlong; Zhang, Hui; He, Bangshun; Cai, Chenxin; Shen, Jian</t>
  </si>
  <si>
    <t>An electrochemiluminescent aptasensor for amplified detection of exosomes from breast tumor cells (MCF-7 cells) based on G-quadruplex/hemin DNAzymes</t>
  </si>
  <si>
    <t>ANALYST</t>
  </si>
  <si>
    <t>HYBRIDIZATION CHAIN-REACTION; ELECTROCHEMICAL DETECTION; EXTRACELLULAR VESICLES; SENSITIVE DETECTION; LABEL-FREE; DNA; AMPLIFICATION; QUANTIFICATION; NANOPARTICLES; BIOSENSOR</t>
  </si>
  <si>
    <t>Exosomes are non-invasive biomarkers for cancer diagnosis. Herein, we describe an electrochemiluminescent (ECL) aptasensor for the detection of exosomes from breast tumor cells. Mercaptopropionic acid (MPA)-modified Eu3+-doped CdS nanocrystals (MPA-CdS:Eu NCs) and H2O2 were used as ECL emitters and coreactant, respectively. The exosomes are recognized and captured by the CD63 aptamer, and then form a G-quadruplex/hemin DNAzyme, which efficiently catalyzes the decomposition of H2O2, resulting in the decreased ECL signal of MPA-CdS: Eu NCs. The exosomes from breast tumor cells (MCF-7 cells) can be detected in the range of 3.4 x 10(5) to 1.7 x 10(8) particles per mL. The limit of detection (LOD) was estimated to be 7.41 x 10(4) particles per mL at a signal-to-noise ratio of 3. The aptasensor has been successfully used to detect exosomes in the serum.</t>
  </si>
  <si>
    <t>[Qiao, Bin; Guo, Qunqun; Jiang, Juqian; Qi, Yunlong; Zhang, Hui; Cai, Chenxin; Shen, Jian] Nanjing Normal Univ, Jiangsu Key Lab Biomed Mat,Jiangsu Key Lab New Po, Jiangsu Collaborat Innovat Ctr Biomed Ilinct Mat, Natl &amp; Local Joint Engn Res Ctr Biomed Funct Mat, Nanjing 210023, Jiangsu, Peoples R China; [He, Bangshun] Nanjing Med Univ, Gen Clin Res Ctr, Nanjing Hosp 1, Nanjing 210006, Jiangsu, Peoples R China</t>
  </si>
  <si>
    <t>Nanjing Normal University; Nanjing Medical University</t>
  </si>
  <si>
    <t>Zhang, H; Shen, J (corresponding author), Nanjing Normal Univ, Jiangsu Key Lab Biomed Mat,Jiangsu Key Lab New Po, Jiangsu Collaborat Innovat Ctr Biomed Ilinct Mat, Natl &amp; Local Joint Engn Res Ctr Biomed Funct Mat, Nanjing 210023, Jiangsu, Peoples R China.;He, BS (corresponding author), Nanjing Med Univ, Gen Clin Res Ctr, Nanjing Hosp 1, Nanjing 210006, Jiangsu, Peoples R China.</t>
  </si>
  <si>
    <t>zhangh@njnu.edu.cn; hebangshun@163.com; jshen@njnu.edu.cn</t>
  </si>
  <si>
    <t>Shen, Jian/ABC-5878-2021; Zhang, Hui/AAI-6868-2020</t>
  </si>
  <si>
    <t>Shen, Jian/0000-0002-9009-6151; , hui/0000-0002-4922-3745</t>
  </si>
  <si>
    <t>0003-2654</t>
  </si>
  <si>
    <t>1364-5528</t>
  </si>
  <si>
    <t>10.1039/c9an00181f</t>
  </si>
  <si>
    <t>WOS:000474061200025</t>
  </si>
  <si>
    <t>Zhang, LM; Gao, QX; Chen, J; Li, B; Li, MM; Zheng, L; Chen, JX; Duan, WJ</t>
  </si>
  <si>
    <t>Zhang, Li-Min; Gao, Qing-Xin; Chen, Jun; Li, Bo; Li, Min-Min; Zheng, Lei; Chen, Jin-Xiang; Duan, Wen-Jun</t>
  </si>
  <si>
    <t>A universal catalytic hairpin assembly system for direct plasma biopsy of exosomal PIWI-interacting RNAs and microRNAs</t>
  </si>
  <si>
    <t>Catalytic hybridization assembly; PIWI-Interacting RNA and microRNA detection; Exosomes; Plasma biopsy; Breast cancer diagnosis</t>
  </si>
  <si>
    <t>PIRNA; PROTEIN; AMPLIFICATION; EXPRESSION</t>
  </si>
  <si>
    <t>PIWI-interacting RNAs (piRNAs) are a complex class of small non-coding RNAs which specifically interact with the PIWI protein to play important roles in germline development and somatic tissues. Aberrant expressions of piRNAs have been recently found in a variety of malignant tumors and associated with cancer hallmarks. However, current methods of analyzing piRNAs are limited to reverse transcription quantitative polymerase chain reaction and next generation sequencing. In this study, we have developed a universal catalytic hybridization assembly system (uniCHA) to quantify piRNAs as well as microRNAs. The system simply comprises two universal hairpin DNA strands and one starting hairpin DNA which can be tailored by a simple rule to bind different piRNA and miRNA targets. The uniCHA system was proved to be able to analyze various piRNAs and miRNAs at the same reaction condition with low leakage and high sensitivity of pM level. With this system, we have detected piR-651 and miR-1246 in 10(6) particles mu L-1 MCF-7 cell-secreted exosomes, and successfully performed a direct plasma biopsy to diagnose breast cancer with sensitivity and specificity both at 100% in cohorts of 21 breast cancer patients and 13 healthy controls. This universal biosensing system provides a simple and efficient strategy in analyzing multiple piRNA/miRNA biomarkers in complicated biological samples, indicating its potential of clinical application in cancer diagnostics. (C) 2021 Elsevier B.V. All rights reserved.</t>
  </si>
  <si>
    <t>[Zhang, Li-Min; Gao, Qing-Xin; Chen, Jun; Chen, Jin-Xiang; Duan, Wen-Jun] Southern Med Univ, Sch Pharmaceut Sci, Guangdong Prov Key Lab New Drug Screening, Guangzhou 510515, Peoples R China; [Li, Bo; Zheng, Lei] Southern Med Univ, Nanfang Hosp, Dept Lab Med, Guangzhou 510515, Peoples R China; [Li, Min-Min] Jinan Univ, Ctr Clin Lab, Affiliated Hosp 1, Guangzhou 510630, Peoples R China</t>
  </si>
  <si>
    <t>Chen, JX; Duan, WJ (corresponding author), Southern Med Univ, Sch Pharmaceut Sci, Guangdong Prov Key Lab New Drug Screening, Guangzhou 510515, Peoples R China.;Zheng, L (corresponding author), Southern Med Univ, Nanfang Hosp, Dept Lab Med, Guangzhou 510515, Peoples R China.</t>
  </si>
  <si>
    <t>10.1016/j.aca.2021.339382</t>
  </si>
  <si>
    <t>WOS:000735770400005</t>
  </si>
  <si>
    <t>Lin, YY; Zhou, XS; Peng, W; Wu, J; Wu, XF; Chen, Y; Cui, ZL</t>
  </si>
  <si>
    <t>Lin, Yingying; Zhou, Xusheng; Peng, Wei; Wu, Jing; Wu, Xiufeng; Chen, Yan; Cui, Zhaolei</t>
  </si>
  <si>
    <t>Expression and clinical implications of basic leucine zipper ATF-like transcription factor 2 in breast cancer</t>
  </si>
  <si>
    <t>BATF2; Breast cancer; Bioinformatics; Serum; Exosomes; Biomarker</t>
  </si>
  <si>
    <t>GENE-EXPRESSION; SARI SUPPRESSOR; POOR-PROGNOSIS; AP-1; BIOINFORMATICS; EPIDEMIOLOGY; STATISTICS; BATF2</t>
  </si>
  <si>
    <t>Background Basic leucine zipper ATF-like transcription factor 2 (BATF2) has been reported to participate in the occurrence and development of some malignancies. Herein, we aimed to explore the expression pattern and clinical implications of BATF2 in breast cancer (BC). Methods We assessed the differences in BATF2 mRNA expression between cancerous and noncancerous tissues in BC using GEPIA and UALCAN data and in BATF2 protein expression pattern using Human Protein Atlas (HPA) data. BATF2 co-expression networks were analyzed in Coexpedia. The association between the differentially expressed BATF2 mRNA and BC prognosis was assessed using UALCAN, OSbrca, and GEPIA databases. In external validations, BATF2 protein expression in BC tissues was quantitated using a tissue microarray and immunohistochemistry (IHC) analysis, and BATF2 mRNA expression in serum and serum-derived exosomes of BC patients using real-time quantitative reverse transcription polymerase chain reaction (qRT-PCR). Results No difference in the BATF2 mRNA expression level was found between cancerous and noncancerous tissues in BC based on databases. There were low-to-moderate levels of increases in BATF2 protein expressions in BC cases from the HPA cohort. BATF2 mRNA expression was negatively correlated with androgen receptor (AR) and positively correlated with BRCA2 DNA repair associated (BRCA2), marker of proliferation Ki-67 (Mki67), and tumor protein p53 (TP53) expressions. Generally, BATF2 mRNA exhibited a non-significant association with BC prognosis; yet the subgroup analyses showed that triple-negative breast cancer (TNBC) patients with high BATF2 mRNA expressions had a longer overall survival (OS). Our IHC analysis revealed a positive rate of BATF2 protein expression of 46.90%, mainly located in the nucleus of cancer cells in BC, and the OS of BC patients with high BATF2 protein expressions was prolonged. The positive rates of BATF2 mRNA expressions in the serum and exosomes were 45.00 and 41.67%, respectively. Besides, the AUCs of serum and exosomal BATF2 mRNA for BC diagnosis were 0.8929 and 0.8869, respectively. Conclusions BC patients exhibit low-to-moderate expressions in BATF2 mRNA expression levels in cancerous tissues. The high BATF2 protein expression can be a potential indicator of a better BC prognosis. Serum and exosomal BATF2 mRNA levels also serve as promising noninvasive biomarkers for BC diagnosis.</t>
  </si>
  <si>
    <t>[Wu, Xiufeng] Fujian Med Univ, Dept Breast Surg Oncol, Canc Hosp, Fuzhou, Fujian, Peoples R China; [Lin, Yingying; Zhou, Xusheng; Peng, Wei; Wu, Jing; Chen, Yan; Cui, Zhaolei] Fujian Med Univ, Dept Clin Lab, Lab Biochem &amp; Mol Biol Res, Canc Hosp, 420 Fuma Rd, Fuzhou 350014, Fujian, Peoples R China</t>
  </si>
  <si>
    <t>Wu, XF (corresponding author), Fujian Med Univ, Dept Breast Surg Oncol, Canc Hosp, Fuzhou, Fujian, Peoples R China.;Chen, Y; Cui, ZL (corresponding author), Fujian Med Univ, Dept Clin Lab, Lab Biochem &amp; Mol Biol Res, Canc Hosp, 420 Fuma Rd, Fuzhou 350014, Fujian, Peoples R China.</t>
  </si>
  <si>
    <t>wxf200104@hotmail.com; chenyan220422@fjmu.edu.cn; cuileidizi@fjmu.edu.cn</t>
  </si>
  <si>
    <t>Cui, Zhaolei/0000-0002-5543-4952</t>
  </si>
  <si>
    <t>SEP 26</t>
  </si>
  <si>
    <t>10.1186/s12885-021-08785-6</t>
  </si>
  <si>
    <t>WOS:000701269500002</t>
  </si>
  <si>
    <t>Bjorn, E; Nygren, Y; Nguyen, TTTN; Ericson, C; Nojd, M; Naredi, P</t>
  </si>
  <si>
    <t>Bjorn, Erik; Nygren, Yvonne; Nguyen, Tam Trinh Thi Nhu; Ericson, Christer; Nojd, Mikael; Naredi, Peter</t>
  </si>
  <si>
    <t>Determination of platinum in human subcellular microsamples by inductively coupled plasma mass spectrometry</t>
  </si>
  <si>
    <t>ANALYTICAL BIOCHEMISTRY</t>
  </si>
  <si>
    <t>platinum; cisplatin; ICPMS; human subcellular microsamples; DNA; exosomes</t>
  </si>
  <si>
    <t>COPPER TRANSPORTER CTR1; ICP-MS; CELLULAR PHARMACOLOGY; DNA ADDUCTS; CISPLATIN; RESISTANCE; CELLS; MECHANISMS; PERSPECTIVES; CARBOPLATIN</t>
  </si>
  <si>
    <t>A fast and robust method for the determination of platinum in human subcellular microsamples by inductively coupled plasma mass spectrometry was developed, characterized, and validated. Samples of isolated DNA and exosome fractions from human ovarian (2008) and melanoma (T289) cancer cell lines were used. To keep the sample consumption to approximately 10 mu l and obtain a high robustness of the system, a flow injection sample introduction system with a 4.6-mu l sample loop was used in combination with a conventional pneumatic nebulizer and a spray chamber. The system was optimized with respect to signal/noise ratio using a multivariate experimental design. The system proved to be well suited for routine analysis of large sample series, and several hundreds of samples could be analyzed without maintenance or downtime. The detection limit of the method was 0.12 pg (26 pg/g) platinum. To avoid systematic errors from nonspectral interferences, it was necessary to use reagent matched calibration standards or isotope dilution analysis. An uncertainty budget was constructed to estimate the total expanded uncertainty of the method, giving a quantification limit of 2.3 pg (0.5 ng/g) platinum in DNA samples. The uncertainty was sufficiently low to study quantitative differences in the formation of Pt-DNA adducts after treatment with cisplatin using different exposure times and concentrations. (c) 2007 Elsevier Inc. All rights reserved.</t>
  </si>
  <si>
    <t>Umea Univ, Dept Chem, S-90187 Umea, Sweden; Umea Univ Hosp, Dept Surg, S-90185 Umea, Sweden</t>
  </si>
  <si>
    <t>Umea University; Umea University</t>
  </si>
  <si>
    <t>Bjorn, E (corresponding author), Umea Univ, Dept Chem, S-90187 Umea, Sweden.</t>
  </si>
  <si>
    <t>erik.bjorn@chem.umu.se</t>
  </si>
  <si>
    <t>Naredi, Peter/AAG-1504-2019</t>
  </si>
  <si>
    <t>Naredi, Peter/0000-0002-5652-0422</t>
  </si>
  <si>
    <t>0003-2697</t>
  </si>
  <si>
    <t>10.1016/j.ab.2007.01.006</t>
  </si>
  <si>
    <t>Biochemical Research Methods; Biochemistry &amp; Molecular Biology; Chemistry, Analytical</t>
  </si>
  <si>
    <t>WOS:000245155500015</t>
  </si>
  <si>
    <t>Schafer, CA; Schafer, JJ; Yakob, M; Lima, P; Camargo, P; Wong, DTW</t>
  </si>
  <si>
    <t>Ligtenberg, AJM; Veerman, ECI</t>
  </si>
  <si>
    <t>Schafer, Christopher A.; Schafer, Jason J.; Yakob, Maha; Lima, Patricia; Camargo, Paulo; Wong, David T. W.</t>
  </si>
  <si>
    <t>Saliva Diagnostics: Utilizing Oral Fluids to Determine Health Status</t>
  </si>
  <si>
    <t>SALIVA: SECRETION AND FUNCTIONS</t>
  </si>
  <si>
    <t>Monographs in Oral Science</t>
  </si>
  <si>
    <t>SQUAMOUS-CELL CARCINOMA; DNA METHYLATION; NUCLEIC-ACIDS; EXOSOMES; CANCER; MICRORNAS; BIOMARKER; BIOGENESIS; MECHANISMS; PROTEINS</t>
  </si>
  <si>
    <t>Imagine a time where your health status could be available to you without the pain, discomfort and inconvenience of a physical examination. Distant vision of an inconceivable future or impending reality with potentially immeasurable impact? Recent advancements in the field of molecular diagnostics indicate this is not only possible, but closer than we think. Novel discoveries and substantial advancements have revealed that saliva may contain real-time information describing our overall physiological condition. Researchers are now reporting that, like blood and tissue biopsies, oral fluids could be a source of biochemical data capable of detecting certain diseases. What is even more intriguing is that this phenomenon not only applies to local disorders like oral cancer and Sjogren's syndrome, but distant pathologies like autoimmune, cardiovascular and metabolic diseases as well as viral/bacterial infections and even some cancers. These revelations have provided a foundation for the burgeoning field of salivary diagnostics and hence spurred the onset of investigations poised at deciphering the salivary milieu. This paper overviews salivary diagnostics from biomarker development to the multitude of techniques utilized in identifying saliva-based molecular indicators of disease. In doing so, we present oral fluids as an easily accessible noninvasive alternative to traditional diagnostic avenues and not just an essential component of the digestive process. Determining saliva as a credible means of evaluating health status represents a considerable leap forward in health care, one that could lead to enormous translational advantages and significant clinical opportunities. (C) 2014 S. Karger AG, Basel</t>
  </si>
  <si>
    <t>[Schafer, Christopher A.; Yakob, Maha; Lima, Patricia; Camargo, Paulo; Wong, David T. W.] Univ Calif Los Angeles, Sch Dent, Oral Head &amp; Neck Oncol Res Ctr, Los Angeles, CA 90095 USA; [Schafer, Jason J.] Thomas Jefferson Univ, Jefferson Sch Pharm, Dept Pharm Practice, Philadelphia, PA 19107 USA</t>
  </si>
  <si>
    <t>University of California System; University of California Los Angeles; Jefferson University</t>
  </si>
  <si>
    <t>Wong, DTW (corresponding author), Univ Calif Los Angeles, Sch Dent, Oral Head &amp; Neck Oncol Res Ctr, 10833 Le Conte Ave,CHS 73-034, Los Angeles, CA 90095 USA.</t>
  </si>
  <si>
    <t>caschafer1@ucla.edu; Jason.Schafer@jefferson.edu; myakob@ucla.edu; patyolima_1@hotmail.com; pcamargo@dentistry.ucla.edu; dtww@ucla.edu</t>
  </si>
  <si>
    <t>0077-0892</t>
  </si>
  <si>
    <t>978-3-318-02596-5; 978-3-318-02595-8</t>
  </si>
  <si>
    <t>10.1159/000358791</t>
  </si>
  <si>
    <t>WOS:000341360500009</t>
  </si>
  <si>
    <t>Chugh, PE; Sin, SH; Ozgur, S; Henry, DH; Menezes, P; Griffith, J; Eron, JJ; Damania, B; Dittmer, DP</t>
  </si>
  <si>
    <t>Chugh, Pauline E.; Sin, Sang-Hoon; Ozgur, Sezgin; Henry, David H.; Menezes, Prema; Griffith, Jack; Eron, Joseph J.; Damania, Blossom; Dittmer, Dirk P.</t>
  </si>
  <si>
    <t>Systemically Circulating Viral and Tumor-Derived MicroRNAs in KSHV-Associated Malignancies</t>
  </si>
  <si>
    <t>SARCOMA-ASSOCIATED-HERPESVIRUS; PRIMARY EFFUSION LYMPHOMA; BARR-VIRUS DNA; ENDOTHELIAL-CELLS; KAPOSI-SARCOMA; IN-VIVO; NASOPHARYNGEAL CARCINOMA; ENCODED MICRORNAS; EXOSOMAL PROTEINS; MIR-17-92 CLUSTER</t>
  </si>
  <si>
    <t>MicroRNAs (miRNAs) are stable, small non-coding RNAs that modulate many downstream target genes. Recently, circulating miRNAs have been detected in various body fluids and within exosomes, prompting their evaluation as candidate biomarkers of diseases, especially cancer. Kaposi's sarcoma (KS) is the most common AIDS-associated cancer and remains prevalent despite Highly Active Anti-Retroviral Therapy (HAART). KS is caused by KS-associated herpesvirus (KSHV), a gamma herpesvirus also associated with Primary Effusion Lymphoma (PEL). We sought to determine the host and viral circulating miRNAs in plasma, pleural fluid or serum from patients with the KSHV-associated malignancies KS and PEL and from two mouse models of KS. Both KSHV-encoded miRNAs and host miRNAs, including members of the miR-17-92 cluster, were detectable within patient exosomes and circulating miRNA profiles from KSHV mouse models. Further characterization revealed a subset of miRNAs that seemed to be preferentially incorporated into exosomes. Gene ontology analysis of signature exosomal miRNA targets revealed several signaling pathways that are known to be important in KSHV pathogenesis. Functional analysis of endothelial cells exposed to patient-derived exosomes demonstrated enhanced cell migration and IL-6 secretion. This suggests that exosomes derived from KSHV-associated malignancies are functional and contain a distinct subset of miRNAs. These could represent candidate biomarkers of disease and may contribute to the paracrine phenotypes that are a characteristic of KS.</t>
  </si>
  <si>
    <t>[Chugh, Pauline E.; Sin, Sang-Hoon; Ozgur, Sezgin; Griffith, Jack; Damania, Blossom; Dittmer, Dirk P.] Univ N Carolina, Lineberger Comprehens Canc Ctr, Dept Microbiol &amp; Immunol, Program Global Oncol, Chapel Hill, NC 27599 USA; [Henry, David H.] Univ Penn, Joan Karnell Canc Ctr, Dept Oncol, Philadelphia, PA 19104 USA; [Menezes, Prema; Eron, Joseph J.] Univ N Carolina, Dept Infect Dis, Chapel Hill, NC USA</t>
  </si>
  <si>
    <t>University of North Carolina; University of North Carolina Chapel Hill; University of Pennsylvania; University of North Carolina; University of North Carolina Chapel Hill</t>
  </si>
  <si>
    <t>Dittmer, DP (corresponding author), Univ N Carolina, Lineberger Comprehens Canc Ctr, Dept Microbiol &amp; Immunol, Program Global Oncol, Chapel Hill, NC 27599 USA.</t>
  </si>
  <si>
    <t>dirk_dittmer@me.com</t>
  </si>
  <si>
    <t>/W-8369-2019; Dittmer, Dirk/AAH-3535-2021; Henry, David/AAU-4650-2020</t>
  </si>
  <si>
    <t>/0000-0002-6503-4960; Dittmer, Dirk/0000-0003-4968-5656; Henry, David/0000-0001-7169-7704</t>
  </si>
  <si>
    <t>e1003484</t>
  </si>
  <si>
    <t>10.1371/journal.ppat.1003484</t>
  </si>
  <si>
    <t>WOS:000322316700031</t>
  </si>
  <si>
    <t>Bezdan, D; Grigorev, K; Meydan, C; Vatter, FAP; Cioffi, M; Rao, V; MacKay, M; Nakahira, K; Burnham, P; Afshinnekoo, E; Westover, C; Butler, D; Mozsary, C; Donahoe, T; Foox, J; Mishra, T; Lucotti, S; Rana, BK; Melnick, AM; Zhang, HY; Matei, I; Kelsen, D; Yu, K; Lyden, DC; Taylor, L; Bailey, SM; Snyder, MP; Garrett-Bakelman, FE; Ossowski, S; De Vlaminck, I; Mason, CE</t>
  </si>
  <si>
    <t>Bezdan, Daniela; Grigorev, Kirill; Meydan, Cem; Vatter, Fanny A. Pelissier; Cioffi, Michele; Rao, Varsha; MacKay, Matthew; Nakahira, Kiichi; Burnham, Philip; Afshinnekoo, Ebrahim; Westover, Craig; Butler, Daniel; Mozsary, Chris; Donahoe, Timothy; Foox, Jonathan; Mishra, Tejaswini; Lucotti, Serena; Rana, Brinda K.; Melnick, Ari M.; Zhang, Haiying; Matei, Irina; Kelsen, David; Yu, Kenneth; Lyden, David C.; Taylor, Lynn; Bailey, Susan M.; Snyder, Michael P.; Garrett-Bakelman, Francine E.; Ossowski, Stephan; De Vlaminck, Iwijn; Mason, Christopher E.</t>
  </si>
  <si>
    <t>Cell-free DNA (cfDNA) and Exosome Profiling from a Year-Long Human Spaceflight Reveals Circulating Biomarkers</t>
  </si>
  <si>
    <t>EXTRACELLULAR VESICLES; DEGRADATION; SECRETION; UBIQUITIN; DISTINCT</t>
  </si>
  <si>
    <t>Liquid biopsies based on cell-free DNA (cfDNA) or exosomes provide a noninvasive approach to monitor human health and disease but have not been utilized for astronauts. Here, we profile cfDNA characteristics, including fragment size, cellular deconvolution, and nucleosome positioning, in an astronaut during a year-long mission on the International Space Station, compared to his identical twin on Earth and healthy donors. We observed a significant increase in the proportion of cell-free mitochondrial DNA (cf-mtDNA) inflight, and analysis of post-flight exosomes in plasma revealed a 30-fold increase in circulating exosomes and patient-specific protein cargo (including brain-derived peptides) after the yearlong mission. This longitudinal analysis of astronaut cfDNA during spaceflight and the exosome profiles highlights their utility for astronaut health monitoring, as well as cf-mtDNA levels as a potential biomarker for physiological stress or immune system responses related to microgravity, radiation exposure, and the other unique environmental conditions of spaceflight.</t>
  </si>
  <si>
    <t>[Bezdan, Daniela; Grigorev, Kirill; Meydan, Cem; MacKay, Matthew; Afshinnekoo, Ebrahim; Westover, Craig; Butler, Daniel; Mozsary, Chris; Donahoe, Timothy; Foox, Jonathan; Mason, Christopher E.] Weill Cornell Med, Dept Physiol &amp; Biophys, 1305 York Ave,Y13-05, New York, NY 10021 USA; [Vatter, Fanny A. Pelissier; Cioffi, Michele; Lucotti, Serena; Matei, Irina; Lyden, David C.] Weill Cornell Med Coll, Childrens Canc &amp; Blood Fdn Labs, Meyer Canc Ctr, Dept Pediat,Drukier Inst Childrens Hlth, New York, NY USA; [Vatter, Fanny A. Pelissier; Cioffi, Michele; Lucotti, Serena; Matei, Irina; Lyden, David C.] Weill Cornell Med Coll, Childrens Canc &amp; Blood Fdn Labs, Meyer Canc Ctr, Dept Cell &amp; Dev Biol,Drukier Inst Childrens Hlth, New York, NY USA; [Rao, Varsha; Mishra, Tejaswini; Snyder, Michael P.] Stanford Univ, Dept Genet, Sch Med, Stanford, CA 94305 USA; [Nakahira, Kiichi] Nara Med Univ, Kashihara, Nara, Japan; [Burnham, Philip] Univ Penn, Dept Bioengn, Philadelphia, PA 19104 USA; [Meydan, Cem; Afshinnekoo, Ebrahim; Mason, Christopher E.] Weill Cornell Med, HRH Prince Alwaleed Bin Talal Bin Abdulaziz Alsau, New York, NY 10065 USA; [Meydan, Cem; Afshinnekoo, Ebrahim; Mason, Christopher E.] Weill Cornell Med, WorldQuant Initiat Quantitat Predict, New York, NY 10065 USA; [Rana, Brinda K.] Univ Calif San Diego, Dept Psychiat, La Jolla, CA 92093 USA; [Melnick, Ari M.; Garrett-Bakelman, Francine E.] Weill Cornell Med, Dept Med, New York, NY USA; [Zhang, Haiying; Kelsen, David; Yu, Kenneth] Mem Sloan Kettering Canc Ctr, Dept Med, 1275 York Ave, New York, NY 10021 USA; [Taylor, Lynn; Bailey, Susan M.] Colorado State Univ, Dept Environm &amp; Radiol Hlth Sci, Ft Collins, CO 80523 USA; [Garrett-Bakelman, Francine E.] Univ Virginia, Sch Med, Dept Med, Charlottesville, VA 22908 USA; [Garrett-Bakelman, Francine E.] Univ Virginia, Sch Med, Dept Biochem &amp; Mol Genet, Charlottesville, VA 22908 USA; [Garrett-Bakelman, Francine E.] Univ Virginia, Canc Ctr, Charlottesville, VA USA; [Ossowski, Stephan] Univ Tubingen, Inst Med Genet &amp; Appl Genom, Tubingen, Germany; [De Vlaminck, Iwijn] Cornell Univ, Nancy E &amp; Peter C Meinig Sch Biomed Engn, Ithaca, NY USA; [Mason, Christopher E.] Weill Cornell Med, Feil Family Brain &amp; Mind Res Inst, New York, NY 10065 USA; [Bezdan, Daniela] Univ Hosp, Inst Med Virol &amp; Epidemiol Viral Dis, Tubingen, Germany</t>
  </si>
  <si>
    <t>Cornell University; Cornell University; Cornell University; Stanford University; Nara Medical University; University of Pennsylvania; Cornell University; Cornell University; University of California System; University of California San Diego; Cornell University; Memorial Sloan Kettering Cancer Center; Colorado State University; University of Virginia; University of Virginia; University of Virginia; Eberhard Karls University of Tubingen; Cornell University; Cornell University; Eberhard Karls University of Tubingen; EBERHARD KARLS UNIVERSITY HOSPITAL</t>
  </si>
  <si>
    <t>Mason, CE (corresponding author), Weill Cornell Med, Dept Physiol &amp; Biophys, 1305 York Ave,Y13-05, New York, NY 10021 USA.;Mason, CE (corresponding author), Weill Cornell Med, HRH Prince Alwaleed Bin Talal Bin Abdulaziz Alsau, New York, NY 10065 USA.;Mason, CE (corresponding author), Weill Cornell Med, WorldQuant Initiat Quantitat Predict, New York, NY 10065 USA.;Mason, CE (corresponding author), Weill Cornell Med, Feil Family Brain &amp; Mind Res Inst, New York, NY 10065 USA.</t>
  </si>
  <si>
    <t>chm2042@med.cornell.edu</t>
  </si>
  <si>
    <t>Mishra, Tejaswini/D-3528-2018; BEZDAN, DANIELA/H-2259-2015</t>
  </si>
  <si>
    <t>Mishra, Tejaswini/0000-0001-9931-1260; BEZDAN, DANIELA/0000-0002-1203-8239; Burnham, Philip/0000-0002-9017-0403; Grigorev, Kirill/0000-0003-3628-0123; Butler, Daniel J./0000-0002-3687-8419; Cioffi, Michele/0000-0003-4180-5369; , Kiichi/0000-0003-4871-0178</t>
  </si>
  <si>
    <t>DEC 18</t>
  </si>
  <si>
    <t>10.1016/j.isci.2020.101844</t>
  </si>
  <si>
    <t>WOS:000600670000087</t>
  </si>
  <si>
    <t>Alghamdi, AS; Foster, DN</t>
  </si>
  <si>
    <t>Seminal DNase frees spermatozoa entangled in neutrophil extracellular traps</t>
  </si>
  <si>
    <t>BIOLOGY OF REPRODUCTION</t>
  </si>
  <si>
    <t>immunology; seminal vesicles; sperm; sperm motility and transport</t>
  </si>
  <si>
    <t>FERTILITY-ASSOCIATED ANTIGEN; FOREIGN DNA; SPERM CELLS; PLASMA; PURIFICATION; CAPACITATION; INFILTRATION; INSEMINATION; LEUKOCYTOSIS; BINDING</t>
  </si>
  <si>
    <t>insemination always stimulates neutrophil migration into the female reproductive tract (FRT), which eliminates excess spermatozoa and bacterial contaminants introduced by the breeding process. However, the presence of neutrophils in the FRT at the time of semen deposition has been shown to result in sperm-neutrophil binding that reduces motility and fertility. Although the binding and trapping mechanism has not been determined, seminal plasma (SP) was found to include a protein factor or factors that reduced sperm-neutrophil binding and improved fertility of sperm inseminated in the presence of neutrophils. Although DNase has been shown to be present in the SP of different species and has been associated with improved fertility in bulls, the mechanism(s) explaining this association and the paradox of DNA-packed cells being associated with DNase have remained unresolved. We demonstrate that sperm-activated neutrophils extrude their DNA, which in turn traps sperm cells and hinders their motility (and ultimately may hinder sperm transport to the fertilization site). DNase activity present in the SP digests the extruded DNA and frees entangled spermatozoa, which in turn may allow more spermatozoa to reach the oviduct, and explains at least one mechanism by which SP increases the rate of fertility. The ability of SP proteins to suppress neutrophil activation in the presence of spermatozoa did not render neutrophils incapable of combating bacteria, demonstrating that SP proteins are highly selective for suppressing neutrophils activated by spermatozoa, but not by bacteria.</t>
  </si>
  <si>
    <t>Univ Minnesota, Dept Vet Populat Med, St Paul, MN 55108 USA; Univ Minnesota, Dept Anim Sci, St Paul, MN 55108 USA</t>
  </si>
  <si>
    <t>University of Minnesota System; University of Minnesota Twin Cities; University of Minnesota System; University of Minnesota Twin Cities</t>
  </si>
  <si>
    <t>Alghamdi, AS (corresponding author), 495 AnSc Vet Med,1988 Fitch Ave, St Paul, MN 55108 USA.</t>
  </si>
  <si>
    <t>algh0007@umn.edu</t>
  </si>
  <si>
    <t>0006-3363</t>
  </si>
  <si>
    <t>1529-7268</t>
  </si>
  <si>
    <t>10.1095/biolreprod.105.045666</t>
  </si>
  <si>
    <t>Reproductive Biology</t>
  </si>
  <si>
    <t>WOS:000233580700012</t>
  </si>
  <si>
    <t>Bodega, G; Alique, M; Bohorquez, L; Moran, M; Magro, L; Puebla, L; Ciordia, S; Mena, MC; Arza, E; Ramirez, MR</t>
  </si>
  <si>
    <t>Bodega, Guillermo; Alique, Matilde; Bohorquez, Lourdes; Moran, Miriam; Magro, Luis; Puebla, Lilian; Ciordia, Sergio; Mena, Maria C.; Arza, Elvira; Ramirez, Manuel R.</t>
  </si>
  <si>
    <t>Young and Especially Senescent Endothelial Microvesicles Produce NADPH: The Fuel for Their Antioxidant Machinery</t>
  </si>
  <si>
    <t>OXIDATIVE MEDICINE AND CELLULAR LONGEVITY</t>
  </si>
  <si>
    <t>PENTOSE-PHOSPHATE PATHWAY; FREE-RADICAL THEORY; OXIDATIVE STRESS; CELLULAR FUNCTIONS; DNA-DAMAGE; EXOSOMES; DISEASE; DEATH</t>
  </si>
  <si>
    <t>In a previous study, we demonstrated that endothelial microvesicles (eMVs) have a well-developed enzymatic team involved in reactive oxygen species detoxification. In the present paper, we demonstrate that eMVs can synthesize the reducing power (NAD(P)H) that nourishes this enzymatic team, especially those eMVs derived from senescent human umbilical vein endothelial cells. Moreover, we have demonstrated that the molecules that nourish the enzymatic machinery involved in NAD(P)H synthesis are blood plasma metabolites: lactate, pyruvate, glucose, glycerol, and branched-chain amino acids. Drastic biochemical changes are observed in senescent eMVs to optimize the synthesis of reducing power. Mitochondrial activity is diminished and the glycolytic pathway is modified to increase the activity of the pentose phosphate pathway. Different dehydrogenases involved in NADPH synthesis are also increased. Functional experiments have demonstrated that eMVs can synthesize NADPH. In addition, the existence of NADPH in eMVs was confirmed by mass spectrometry. Multiphoton confocal microscopy images corroborate the synthesis of reducing power in eMVs. In conclusion, our present and previous results demonstrate that eMVs can act as autonomous reactive oxygen species scavengers: they use blood metabolites to synthesize the NADPH that fuels their antioxidant machinery. Moreover, senescent eMVs have a stronger reactive oxygen species scavenging capacity than young eMVs.</t>
  </si>
  <si>
    <t>[Bodega, Guillermo] Univ Alcala, Dept Biomed &amp; Biotecnol, Madrid 28805, Spain; [Alique, Matilde; Bohorquez, Lourdes; Moran, Miriam; Magro, Luis; Puebla, Lilian; Ramirez, Manuel R.] Univ Alcala, Dept Biol Sistemas, Madrid 28805, Spain; [Ciordia, Sergio; Mena, Maria C.] CSIC, Ctr Nacl Biotecnol, Prote Facil, Campus Cantoblanco, Madrid 28049, Spain; [Arza, Elvira] CNIC, Unidad Tecn Microscopia, C Melchor Fernandez Almagro 3, Madrid 28029, Spain</t>
  </si>
  <si>
    <t>Universidad de Alcala; Universidad de Alcala; Consejo Superior de Investigaciones Cientificas (CSIC); CSIC - Centro Nacional de Biotecnologia (CNB); Centro Nacional de Investigaciones Cardiovasculares (CNIC)</t>
  </si>
  <si>
    <t>Bodega, G (corresponding author), Univ Alcala, Dept Biomed &amp; Biotecnol, Madrid 28805, Spain.</t>
  </si>
  <si>
    <t>guillermo.bodega@uah.es</t>
  </si>
  <si>
    <t>Alique, Matilde/I-1341-2016</t>
  </si>
  <si>
    <t>Alique, Matilde/0000-0002-7912-1133; Arza, Elvira/0000-0001-9626-047X; Ciordia, Sergio/0000-0002-5726-853X</t>
  </si>
  <si>
    <t>1942-0900</t>
  </si>
  <si>
    <t>1942-0994</t>
  </si>
  <si>
    <t>10.1155/2018/3183794</t>
  </si>
  <si>
    <t>WOS:000430275300001</t>
  </si>
  <si>
    <t>Zhou, Z; Tu, ZH; Zhang, J; Tan, C; Shen, XY; Wan, BB; Li, YJ; Wang, AG; Zhao, LQ; Hu, JJ; Ma, N; Zhou, J; Chen, L; Song, YQ; Lu, WY</t>
  </si>
  <si>
    <t>Zhou, Zhi; Tu, Zhihua; Zhang, Juan; Tan, Can; Shen, Xiaoyong; Wan, Bangbei; Li, Yejuan; Wang, Anguo; Zhao, Liqiang; Hu, Jiajia; Ma, Ning; Zhou, Jing; Chen, Lin; Song, Yanqin; Lu, Weiying</t>
  </si>
  <si>
    <t>Follicular Fluid-Derived Exosomal MicroRNA-18b-5p Regulates PTEN-Mediated PI3K/Akt/mTOR Signaling Pathway to Inhibit Polycystic Ovary Syndrome Development</t>
  </si>
  <si>
    <t>MOLECULAR NEUROBIOLOGY</t>
  </si>
  <si>
    <t>Polycystic ovary syndrome; Follicular fluid-derived exosomes; MicroRNA-18b-5p; PTEN; PI3K; Akt; mTOR pathway</t>
  </si>
  <si>
    <t>GRANULOSA-CELLS; UP-REGULATION; PROLIFERATION; EXPRESSION; APOPTOSIS</t>
  </si>
  <si>
    <t>Small RNA sequences in follicular fluid (FF)-derived exosomes (extracellular vesicles contain proteins, DNA, and RNA) vitally function in the development of polycystic ovary syndrome (PCOS). It has been identified that microRNA (miR)-18b-5p is one of miRs that differ between control and PCOS women that passed the false discovery rate, and phosphatase and tensin homolog deleted on chromosome 10 (PTEN) is an important modifier of biological functions of ovarian granulosa cells (GCs) in PCOS. However, whether miR-18b-5p could functionally mediate the progression of PCOS via PTEN was not clarified completely, which was the issue we wanted to solve in our research. FF-derived exosomes were isolated using an extraction kit. KGN cells were co-cultured with miR-18b-5p-modified exosomes or transfected with a PTEN-related vector. After treatment, cell proliferation and apoptosis were observed. A rat model of PCOS was established by letrozole and then injected with miR-18b-5p-modified exosomes. Then, serum follicle-stimulating hormone (FSH), luteinizing hormone (LH), testosterone, and estradiol (E2) levels in PCOS rats were measured. miR-18b-5p, PTEN, and phosphatidylinositol 3 kinases/protein kinase B/mammalian target of rapamycin (PI3K/Akt/mTOR) pathway-related genes were tested. In PCOS patients, miR-18b-5p was downregulated, and PTEN was highly expressed in FF and GCs. PTEN knockdown increased KGN cell proliferation and limited apoptosis. FF-derived exosomes stimulated proliferation and suppressed apoptosis of KGN cells; decreased FSH, LH, and testosterone; and increased E2 in PCOS rats. Upregulating miR-18b-5p further enhanced the inhibitory effects of exosomes on suppressing the progression of PCOS. miR-18b-5p targeted PTEN and could activate PI3K/Akt/mTOR pathway. miR-18b-5p produced by FF-derived exosomes reduces PTEN expression and promotes the activation of the PI3K/Akt/mTOR signaling pathway to improve PCOS. Based on that, circulating miR-18b-5p levels can contribute to the progression of PCOS complications.</t>
  </si>
  <si>
    <t>[Zhou, Zhi; Tu, Zhihua; Wan, Bangbei; Li, Yejuan; Wang, Anguo; Zhao, Liqiang; Hu, Jiajia; Ma, Ning; Zhou, Jing; Chen, Lin; Song, Yanqin; Lu, Weiying] Hainan Women &amp; Childrens Med Ctr, Reprod Med Ctr, 75 Longkun South Rd, Haikou 570206, Hainan, Peoples R China; [Zhang, Juan] Zhuzhou Cent Hosp, Reprod Med Ctr, Zhuzhou 412007, Hunan, Peoples R China; [Tan, Can] Northwestern Univ, Feinberg Sch Med, Feinberg Cardiovasc &amp; Renal Res Inst, Chicago, IL 60611 USA; [Shen, Xiaoyong] Yikon Genom Co Ltd, Suzhou 215000, Jiangsu, Peoples R China</t>
  </si>
  <si>
    <t>Northwestern University; Feinberg School of Medicine</t>
  </si>
  <si>
    <t>Lu, WY (corresponding author), Hainan Women &amp; Childrens Med Ctr, Reprod Med Ctr, 75 Longkun South Rd, Haikou 570206, Hainan, Peoples R China.</t>
  </si>
  <si>
    <t>Luweiying206@163.com</t>
  </si>
  <si>
    <t>0893-7648</t>
  </si>
  <si>
    <t>1559-1182</t>
  </si>
  <si>
    <t>10.1007/s12035-021-02714-1</t>
  </si>
  <si>
    <t>WOS:000749152400001</t>
  </si>
  <si>
    <t>Shi, LL; Rana, A; Esfandiari, L</t>
  </si>
  <si>
    <t>Shi, Leilei; Rana, Ankit; Esfandiari, Leyla</t>
  </si>
  <si>
    <t>A low voltage nanopipette dielectrophoretic device for rapid entrapment of nanoparticles and exosomes extracted from plasma of healthy donors</t>
  </si>
  <si>
    <t>BIOLOGICAL CELLS; SEPARATION; MANIPULATION; DNA; BIOPARTICLES; ELECTRODES; GLASS; FLOW; MICRORNAS; LIPOSOMES</t>
  </si>
  <si>
    <t>An insulator-based dielectrophoresis (iDEP) is a label-free method that has been extensively utilized for manipulation of nanoparticles, cells, and biomolecules. Here, we present a new iDEP approach that can rapidly trap nanoparticles at the close proximity of a glass nanopipette's tip by applying 10 V/cm direct current (DC) across the pipette's length. The trapping mechanism was systemically studied using both numerical modeling and experimental observations. The results showed that the particle trapping was determined to be controlled by three dominant electrokinetic forces including dielectrophoretic, electrophoretic and electroosmotic force. Furthermore, the effect of the ionic strength, the pipette's geometry, and the applied electric field on the entrapment efficiency was investigated. To show the application of our device in biomedical sciences, we demonstrated the successful entrapment of fluorescently tagged liposomes and unlabeled plasma-driven exosomes from the PBS solution. Also, to illustrate the selective entrapment capability of our device, 100 nm liposomes were extracted from the PBS solution containing 500 nm polystyrene particles at the tip of the pipette as the voltage polarity was reversed.</t>
  </si>
  <si>
    <t>[Shi, Leilei; Rana, Ankit; Esfandiari, Leyla] Univ Cincinnati, Coll Engn &amp; Appl Sci, Dept Elect Engn &amp; Comp Sci, Cincinnati, OH 45221 USA; [Esfandiari, Leyla] Univ Cincinnati, Coll Engn &amp; Appl Sci, Dept Biomed Engn, Cincinnati, OH 45221 USA</t>
  </si>
  <si>
    <t>University of Cincinnati; University of Cincinnati</t>
  </si>
  <si>
    <t>Esfandiari, L (corresponding author), Univ Cincinnati, Coll Engn &amp; Appl Sci, Dept Elect Engn &amp; Comp Sci, Cincinnati, OH 45221 USA.;Esfandiari, L (corresponding author), Univ Cincinnati, Coll Engn &amp; Appl Sci, Dept Biomed Engn, Cincinnati, OH 45221 USA.</t>
  </si>
  <si>
    <t>esfandla@ucmail.uc.edu</t>
  </si>
  <si>
    <t>APR 30</t>
  </si>
  <si>
    <t>10.1038/s41598-018-25026-2</t>
  </si>
  <si>
    <t>WOS:000431107100010</t>
  </si>
  <si>
    <t>Kwon, S; Oh, J; Lee, MS; Um, E; Jeong, J; Kang, JH</t>
  </si>
  <si>
    <t>Kwon, Seyong; Oh, Jieung; Lee, Min Seok; Um, Eujin; Jeong, Joonwoo; Kang, Joo H.</t>
  </si>
  <si>
    <t>Enhanced Diamagnetic Repulsion of Blood Cells Enables Versatile Plasma Separation for Biomarker Analysis in Blood</t>
  </si>
  <si>
    <t>blood plasma separation; diamagnetophoresis; microfluidics</t>
  </si>
  <si>
    <t>MICROFLUIDIC PIPETTE TIP; ESCHERICHIA-COLI; WHOLE-BLOOD; DEVICE; EXTRACTION; SEDIMENTATION; MICROCHANNEL; DIAGNOSTICS; DIFFERENCE; PARTICLES</t>
  </si>
  <si>
    <t>A hemolysis-free and highly efficient plasma separation platform enabled by enhanced diamagnetic repulsion of blood cells in undiluted whole blood is reported. Complete removal of blood cells from blood plasma is achieved by supplementing blood with superparamagnetic iron oxide nanoparticles (SPIONs), which turns the blood plasma into a paramagnetic condition, and thus, all blood cells are repelled by magnets. The blood plasma is successfully collected from 4 mL of blood at flow rates up to 100 mu L min(-1) without losing plasma proteins, platelets, or exosomes with 83.3 +/- 1.64% of plasma volume recovery, which is superior over the conventional microfluidic methods. The theoretical model elucidates the diamagnetic repulsion of blood cells considering hematocrit-dependent viscosity, which allows to determine a range of optimal flow rates to harvest platelet-rich plasma and platelet-free plasma. For clinical validations, it is demonstrated that the method enables the greater recovery of bacterial DNA from the infected blood than centrifugation and the immunoassay in whole blood without prior plasma separation.</t>
  </si>
  <si>
    <t>[Kwon, Seyong; Oh, Jieung; Lee, Min Seok; Kang, Joo H.] Ulsan Natl Inst Sci &amp; Technol UNIST, Dept Biomed Engn, UNIST Gil 50, Ulsan 44919, South Korea; [Um, Eujin; Jeong, Joonwoo] Ulsan Natl Inst Sci &amp; Technol UNIST, Dept Phys, UNIST Gil 50, Ulsan 44919, South Korea</t>
  </si>
  <si>
    <t>Ulsan National Institute of Science &amp; Technology (UNIST); Ulsan National Institute of Science &amp; Technology (UNIST)</t>
  </si>
  <si>
    <t>Kang, JH (corresponding author), Ulsan Natl Inst Sci &amp; Technol UNIST, Dept Biomed Engn, UNIST Gil 50, Ulsan 44919, South Korea.</t>
  </si>
  <si>
    <t>jookang@unist.ac.kr</t>
  </si>
  <si>
    <t>Kang, Joo H./D-5436-2017; Jeong, Joonwoo/C-5524-2009</t>
  </si>
  <si>
    <t>Kang, Joo H./0000-0001-9636-3209; Jeong, Joonwoo/0000-0002-3082-783X; Lee, Min Seok/0000-0003-4372-8408; Oh, JiEung/0000-0002-0399-4907</t>
  </si>
  <si>
    <t>10.1002/smll.202100797</t>
  </si>
  <si>
    <t>WOS:000649400300001</t>
  </si>
  <si>
    <t>Slyusarenko, M; Shalaev, S; Valitova, A; Zabegina, L; Nikiforova, N; Nazarova, I; Rudakovskaya, P; Vorobiev, M; Lezov, A; Filatova, L; Yevlampieva, N; Gorin, D; Krzhivitsky, P; Malek, A</t>
  </si>
  <si>
    <t>Slyusarenko, Maria; Shalaev, Sergey; Valitova, Alina; Zabegina, Lidia; Nikiforova, Nadezhda; Nazarova, Inga; Rudakovskaya, Polina; Vorobiev, Maxim; Lezov, Alexey; Filatova, Larisa; Yevlampieva, Natalia; Gorin, Dmitry; Krzhivitsky, Pavel; Malek, Anastasia</t>
  </si>
  <si>
    <t>AuNP Aptasensor for Hodgkin Lymphoma Monitoring</t>
  </si>
  <si>
    <t>BIOSENSORS-BASEL</t>
  </si>
  <si>
    <t>enzyme-mimetic nanoparticles; gold nanoparticles; aptamer; liquid biopsy; small extracellular vesicles; Hodgkin lymphoma; diagnostic; monitoring</t>
  </si>
  <si>
    <t>PEROXIDASE-LIKE ACTIVITY; ELECTROCHEMICAL DETECTION; EXTRACELLULAR VESICLES</t>
  </si>
  <si>
    <t>A liquid biopsy based on circulating small extracellular vesicles (SEVs) has not yet been used in routine clinical practice due to the lack of reliable analytic technologies. Recent studies have demonstrated the great diagnostic potential of nanozyme-based systems for the detection of SEV markers. Here, we hypothesize that CD30-positive Hodgkin and Reed-Sternberg (HRS) cells secrete CD30 + SEVs; therefore, the relative amount of circulating CD30 + SEVs might reflect classical forms of Hodgkin lymphoma (cHL) activity and can be measured by using a nanozyme-based technique. A AuNP aptasensor analytics system was created using aurum nanoparticles (AuNPs) with peroxidase activity. Sensing was mediated by competing properties of DNA aptamers to attach onto surface of AuNPs inhibiting their enzymatic activity and to bind specific markers on SEVs surface. An enzymatic activity of AuNPs was evaluated through the color reaction. The study included characterization of the components of the analytic system and its functionality using transmission and scanning electron microscopy, nanoparticle tracking analysis (NTA), dynamic light scattering (DLS), and spectrophotometry. AuNP aptasensor analytics were optimized to quantify plasma CD30 + SEVs. The developed method allowed us to differentiate healthy donors and cHL patients. The results of the CD30 + SEV quantification in the plasma of cHL patients were compared with the results of disease activity assessment by positron emission tomography/computed tomography (PET-CT) scanning, revealing a strong positive correlation. Moreover, two cycles of chemotherapy resulted in a statistically significant decrease in CD30 + SEVs in the plasma of cHL patients. The proposed AuNP aptasensor system presents a promising new approach for monitoring cHL patients and can be modified for the diagnostic testing of other diseases.</t>
  </si>
  <si>
    <t>[Slyusarenko, Maria; Shalaev, Sergey; Valitova, Alina; Zabegina, Lidia; Nikiforova, Nadezhda; Nazarova, Inga; Filatova, Larisa; Krzhivitsky, Pavel; Malek, Anastasia] NN Petrov Natl Med Res Ctr Oncol, Dept Hematol &amp; Chemotherapy, Subcellular Technol Lab, St Petersburg 197758, Russia; [Slyusarenko, Maria; Shalaev, Sergey; Valitova, Alina; Zabegina, Lidia; Nikiforova, Nadezhda; Nazarova, Inga; Filatova, Larisa; Krzhivitsky, Pavel; Malek, Anastasia] NN Petrov Natl Med Res Ctr Oncol, Dept Radionuclide Diagnost, St Petersburg 197758, Russia; [Slyusarenko, Maria; Vorobiev, Maxim; Lezov, Alexey; Yevlampieva, Natalia] St Petersburg State Univ, Fac Phys, St Petersburg 199034, Russia; [Slyusarenko, Maria; Vorobiev, Maxim; Lezov, Alexey; Yevlampieva, Natalia] St Petersburg State Univ, Ctr Mol &amp; Cell Technol, St Petersburg 199034, Russia; [Rudakovskaya, Polina; Gorin, Dmitry] Skolkovo Inst Sci &amp; Technol, Ctr Photon &amp; Quantum Mat, Moscow 121205, Russia</t>
  </si>
  <si>
    <t>Saint Petersburg State University; Saint Petersburg State University; Skolkovo Institute of Science &amp; Technology</t>
  </si>
  <si>
    <t>Malek, A (corresponding author), NN Petrov Natl Med Res Ctr Oncol, Dept Hematol &amp; Chemotherapy, Subcellular Technol Lab, St Petersburg 197758, Russia.;Malek, A (corresponding author), NN Petrov Natl Med Res Ctr Oncol, Dept Radionuclide Diagnost, St Petersburg 197758, Russia.</t>
  </si>
  <si>
    <t>slusarenko_masha@mail.ru; shalaev.haemonc@gmail.com; valitva.alina@gmail.com; lidusikza@yandex.ru; niki2naden_ka@mail.ru; oblaka12@mail.ru; polinaru@list.ru; vorobiev.maxim@rambler.ru; alezov@gmail.com; larisa_filatova@list.ru; n.yevlampieva@spbu.ru; d.gorin@skoltech.ru; krzh@mail.ru; anastasia@malek.com</t>
  </si>
  <si>
    <t>Yevlampieva, Natalia/H-5853-2013; Gorin, Dmitry A./D-8324-2013; Malek, Anastasia/R-8804-2016</t>
  </si>
  <si>
    <t>Yevlampieva, Natalia/0000-0003-0277-2904; Gorin, Dmitry A./0000-0001-8760-615X; Nazarova, Inga/0000-0002-6812-3088; Malek, Anastasia/0000-0001-5334-7292; Rudakovskaya, Polina/0000-0003-2495-4194; Zabegina, Lidia/0000-0003-0827-1641; Slyusarenko, Maria/0000-0002-3677-1558; Nikiforova, Nadezhda/0000-0001-7464-4237</t>
  </si>
  <si>
    <t>2079-6374</t>
  </si>
  <si>
    <t>10.3390/bios12010023</t>
  </si>
  <si>
    <t>Chemistry, Analytical; Nanoscience &amp; Nanotechnology; Instruments &amp; Instrumentation</t>
  </si>
  <si>
    <t>Chemistry; Science &amp; Technology - Other Topics; Instruments &amp; Instrumentation</t>
  </si>
  <si>
    <t>WOS:000747127900001</t>
  </si>
  <si>
    <t>Ambrosio, MR; Vernillo, R; De Carolis, S; Carducci, A; Mundo, L; Ginori, A; Rocca, BJ; Nardone, V; Fei, AL; Carfagno, T; Lazzi, S; Cricca, M; Tosi, P</t>
  </si>
  <si>
    <t>Ambrosio, Maria Raffaella; Vernillo, Remo; De Carolis, Sabrina; Carducci, Antonietta; Mundo, Lucia; Ginori, Alessandro; Rocca, Bruno Jim; Nardone, Valerio; Fei, Alessandra Lucenti; Carfagno, Tommaso; Lazzi, Stefano; Cricca, Monica; Tosi, Piero</t>
  </si>
  <si>
    <t>Putative Role of Circulating Human Papillomavirus DNA in the Development of Primary Squamous Cell Carcinoma of the Middle Rectum: A Case Report</t>
  </si>
  <si>
    <t>circulating HPV; immune evasion; exosomes; middle rectum; cancer</t>
  </si>
  <si>
    <t>INFECTION; CANCER; MICROBIOME; VIRUS; TUMOR; RISK; E6</t>
  </si>
  <si>
    <t>Here we present the case of a patient affected by rectal squamous cell carcinoma in which we demonstrated the presence of Human Papillomavirus (HPV) by a variety of techniques. Collectively, the virus was detected not only in the tumor but also in some regional lymph nodes and in non-neoplastic mucosa of the upper tract of large bowel. By contrast, it was not identifiable in its common sites of entry, namely oral and ano-genital region. We also found HPV DNA in the plasma-derived exosome. Next, by in vitro studies, we confirmed the capability of HPV DNA-positive exosomes, isolated from the supernatant of a HPV DNA positive cell line (CaSki), to transfer its DNA to human colon cancer and normal cell lines. In the stroma nearby the tumor mass we were able to demonstrate the presence of virus DNA in the stromal compartment, supporting its potential to be transferred from epithelial cells to the stromal ones. Thus, this case report favors the notion that human papillomavirus DNA can be vehiculated by exosomes in the blood of neoplastic patients and that it can be transferred, at least in vitro, to normal and neoplastic cells. Furthermore, we showed the presence of viral DNA and RNA in pluripotent stem cells of non-tumor tissue, suggesting that after viral integration (as demonstrated by p16 and RNA in situ hybridization positivity), stem cells might have been activated into cancer stem cells inducing neoplastic transformation of normal tissue through the inactivation of p53, p21, and Rb. It is conceivable that the virus has elicited its oncogenic effect in this specific site and not elsewhere, despite its wide anatomical distribution in the patient, for a local condition of immune suppression, as demonstrated by the increase of T-regulatory (CD4/CD25/FOXP3 positive) and T-exhausted (CD8/PD-lpositive) lymphocytes and the M2 polarization (high CD163/CD68 ratio) of macrophages in the neoplastic microenvironment. It is noteworthy that our findings depicted a static picture of a long-lasting dynamic process that might evolve in the development of tumors in other anatomical sites.</t>
  </si>
  <si>
    <t>[Ambrosio, Maria Raffaella; Carducci, Antonietta; Mundo, Lucia; Lazzi, Stefano] Univ Siena, Dept Med Biotechnol, Siena, Italy; [Vernillo, Remo; Fei, Alessandra Lucenti] Univ Siena, Dept Med Sci Surg &amp; Neurosci, Siena, Italy; [De Carolis, Sabrina] St Orsola Marcello Malpighi Hosp, Ctr Appl Biomed Res CRBA, Bologna, Italy; [De Carolis, Sabrina; Cricca, Monica] Univ Bologna, Dept Expt Diagnost &amp; Specialty Med, Bologna, Italy; [Ginori, Alessandro; Rocca, Bruno Jim] Osped Civ Carrara, Pathol Unit, Carrara, Italy</t>
  </si>
  <si>
    <t>University of Siena; University of Siena; IRCCS Azienda Ospedaliero-Universitaria di Bologna; University of Bologna</t>
  </si>
  <si>
    <t>Lazzi, S (corresponding author), Univ Siena, Dept Med Biotechnol, Siena, Italy.;Cricca, M (corresponding author), Univ Bologna, Dept Expt Diagnost &amp; Specialty Med, Bologna, Italy.</t>
  </si>
  <si>
    <t>lazzi2@unisi.it; monica.cricca3@unibo.it</t>
  </si>
  <si>
    <t>Ambrosio, Maria Raffaella/S-2228-2019; Lazzi, Stefano/P-8265-2018; Nardone, Valerio/AAI-2491-2019; Mundo, Lucia/ABE-8599-2021; Ambrosio, Maria Raffaella/K-8953-2016</t>
  </si>
  <si>
    <t>Lazzi, Stefano/0000-0002-2218-3771; Nardone, Valerio/0000-0002-7347-0965; Ambrosio, Maria Raffaella/0000-0002-1172-6902</t>
  </si>
  <si>
    <t>FEB 21</t>
  </si>
  <si>
    <t>10.3389/fonc.2019.00093</t>
  </si>
  <si>
    <t>WOS:000459290000001</t>
  </si>
  <si>
    <t>Sun, YJ; Jin, H; Jiang, XW; Gui, RJ</t>
  </si>
  <si>
    <t>Sun, Yujiao; Jin, Hui; Jiang, Xiaowen; Gui, Rijun</t>
  </si>
  <si>
    <t>Assembly of Black Phosphorus Nanosheets and MOF to Form Functional Hybrid Thin-Film for Precise Protein Capture, Dual-Signal and Intrinsic Self-Calibration Sensing of Specific Cancer-Derived Exosomes</t>
  </si>
  <si>
    <t>RATIOMETRIC FLUORESCENCE; APTASENSOR; ZIF-67; BIOSENSOR; MEMBRANES; PLATFORM</t>
  </si>
  <si>
    <t>As the emerging and noninvasive biomarkers, exosomes play an important role in cancer screening, cancer-related immune response, and the physiological process. The sensitive, specific, and efficient detection of cancer cell-derived exosomes is of significance for early cancer diagnosis of patients. This work developed a novel dual-signal and intrinsic self-calibration aptasensor of exosomes based on a functional hybrid thin-film platform. This platform was constructed via facile assembly of black phosphorus nanosheets (BPNSs) and ferrocene (Fc)-doped metal-organic frameworks (ZIF-67) on indium tin oxide (ITO) slice, followed by combining methylene blue (MB)-labeled single- strand DNA aptamer on ITO slice. The resultant aptamer-BPNSs/Fc/ZIF-67/ITO platform had dual redox-signal responses of MB (labeled on aptamer) and Fc (doped into ZIF-67). In the presence of specific cancer cell-derived exosomes, the redox current of MB regularly reduced and that of Fc (as reference) hardly changed. An intrinsic self-calibration aptasensor was achieved and enabled sensitive detection of exosomes, showing a limit of detection down to 100 particles mL(-1). The aptasensor with a capability of precise protein capture can efficiently determine specific cancer cell-derived exosomes in practical human serum and plasma samples from healthy individuals and breast cancer patients. In light of excellent performances, this aptasensor can be expanded to multiple biomarkers from cell line exosomes and is beneficial for exploring advanced techniques for high-performance detection of exosomes derived from different types of cancer cells. This work promotes the development of current techniques for early cancer screening and clinical diagnosis.</t>
  </si>
  <si>
    <t>[Sun, Yujiao; Jin, Hui; Jiang, Xiaowen; Gui, Rijun] Qingdao Univ, Qingdao, Shandong, Peoples R China</t>
  </si>
  <si>
    <t>Qingdao University</t>
  </si>
  <si>
    <t>Gui, RJ (corresponding author), Qingdao Univ, Qingdao, Shandong, Peoples R China.</t>
  </si>
  <si>
    <t>guirijun@163.com</t>
  </si>
  <si>
    <t>Gui, Rijun/N-2494-2014</t>
  </si>
  <si>
    <t>Gui, Rijun/0000-0003-4500-4016</t>
  </si>
  <si>
    <t>FEB 4</t>
  </si>
  <si>
    <t>10.1021/acs.analchem.9b05583</t>
  </si>
  <si>
    <t>WOS:000511509400069</t>
  </si>
  <si>
    <t>de Wit, S; Rossi, E; Weber, S; Tamminga, M; Manicone, M; Swennenhuis, JF; Groothuis-Oudshoorn, CGM; Vidotto, R; Facchinetti, A; Zeune, LL; Schuuring, E; Zamarchi, R; Hiltermann, TJN; Speicher, MR; Heitzer, E; Terstappen, LWMM; Groen, HJM</t>
  </si>
  <si>
    <t>de Wit, Sanne; Rossi, Elisabetta; Weber, Sabrina; Tamminga, Menno; Manicone, Mariangela; Swennenhuis, Joost F.; Groothuis-Oudshoorn, Catharina G. M.; Vidotto, Riccardo; Facchinetti, Antonella; Zeune, Leonie L.; Schuuring, Ed; Zamarchi, Rita; Hiltermann, T. Jeroen N.; Speicher, Michael R.; Heitzer, Ellen; Terstappen, Leon W. M. M.; Groen, Harry J. M.</t>
  </si>
  <si>
    <t>Single tube liquid biopsy for advanced non-small cell lung cancer</t>
  </si>
  <si>
    <t>liquid biopsy; circulating tumor cells; circulating tumor DNA; extracellular vesicles; survival; non-small cell lung cancer; EpCAM; biomarkers</t>
  </si>
  <si>
    <t>CIRCULATING TUMOR-CELLS; EPITHELIAL-MESENCHYMAL PLASTICITY; PROGRESSION-FREE SURVIVAL; PROSTATE; PREDICT; CHALLENGES; BIOMARKERS; RELEVANCE; EXOSOMES; BLOOD</t>
  </si>
  <si>
    <t>The need for a liquid biopsy in non-small cell lung cancer (NSCLC) patients is rapidly increasing. We studied the relation between overall survival (OS) and the presence of four cancer biomarkers from a single blood draw in advanced NSCLC patients: EpCAM(high) circulating tumor cells (CTC), EpCAM(low) CTC, tumor-derived extracellular vesicles (tdEV) and cell-free circulating tumor DNA (ctDNA). EpCAM(high) CTC were detected with CellSearch, tdEV in the CellSearch images and EpCAM(low) CTC with filtration after CellSearch. ctDNA was isolated from plasma and mutations present in the primary tumor were tracked with deep sequencing methods. In 97 patients, 21% had &gt;= 2 EpCAM(high) CTC, 15% had &gt;= 2 EpCAM(low) CTC, 27% had &gt;= 18 tdEV and 19% had ctDNA with &gt;= 10% mutant allele frequency. Either one of these four biomarkers could be detected in 45% of the patients and all biomarkers were present in 2%. In 11 out of 16 patients (69%) mutations were detected in the ctDNA. Two or more unfavorable biomarkers were associated with poor OS. The presence of EpCAM(high) CTC and elevated levels of tdEV and ctDNA was associated with a poor OS; however, the presence of EpCAM(low) CTC was not. This single tube approach enables simultaneous analysis of multiple biomarkers to explore their potential as a liquid biopsy.</t>
  </si>
  <si>
    <t>[de Wit, Sanne; Swennenhuis, Joost F.; Zeune, Leonie L.; Terstappen, Leon W. M. M.] Univ Twente, Dept Med Cell BioPhys, Enschede, Netherlands; [Rossi, Elisabetta; Facchinetti, Antonella] Univ Padua, DISCOG, Padua, Italy; [Rossi, Elisabetta; Manicone, Mariangela; Vidotto, Riccardo; Facchinetti, Antonella; Zamarchi, Rita; Hiltermann, T. Jeroen N.] Veneto Inst Oncol IOV IRCCS, Padua, Italy; [Weber, Sabrina; Speicher, Michael R.; Heitzer, Ellen] Med Univ Graz, Inst Human Genet, Diagnost &amp; Res Ctr Mol BioMed, Graz, Austria; [Tamminga, Menno; Schuuring, Ed; Groen, Harry J. M.] Univ Groningen, Univ Med Ctr Groningen, Dept Pulm Dis, Groningen, Netherlands; [Groothuis-Oudshoorn, Catharina G. M.] Univ Twente, Dept Hlth Technol &amp; Serv Res, Enschede, Netherlands; [Zeune, Leonie L.] Univ Twente, Dept Appl Math, Enschede, Netherlands; [Heitzer, Ellen] Med Univ Graz, Christian Doppler Lab Liquid Biopsies Early Detec, Graz, Austria</t>
  </si>
  <si>
    <t>University of Twente; University of Padua; IRCCS Istituto Oncologico Veneto (IOV); Medical University of Graz; University of Groningen; University of Twente; University of Twente; Medical University of Graz</t>
  </si>
  <si>
    <t>Groen, HJM (corresponding author), Fac Med Sci, Lung Dis, Hanzepl 1, NL-9713 GZ Groningen, Netherlands.</t>
  </si>
  <si>
    <t>h.j.m.groen@umcg.nl</t>
  </si>
  <si>
    <t>Zamarchi, Rita/K-4517-2016; Groen, Harry/AAP-2242-2021; Vidotto, Riccardo RV/L-4857-2016; Facchinetti, Antonella/K-5036-2016; terstappen, leon/O-4923-2018; Speicher, Michael R/B-5362-2013; Rossi, Elisabetta/K-4346-2016; , HiltermannTJN/ABA-9144-2021</t>
  </si>
  <si>
    <t>Zamarchi, Rita/0000-0001-6435-2257; Vidotto, Riccardo RV/0000-0002-6526-9284; Facchinetti, Antonella/0000-0002-5628-5899; terstappen, leon/0000-0001-5944-3787; Speicher, Michael R/0000-0003-0105-955X; Rossi, Elisabetta/0000-0002-5242-9568; Groothuis-Oudshoorn, Catharina/0000-0002-4875-5379; Groen, Harry J.M./0000-0002-2978-5265; de Wit, Sanne/0000-0001-8867-2968; Weber, Sabrina/0000-0003-0374-0349</t>
  </si>
  <si>
    <t>10.1002/ijc.32056</t>
  </si>
  <si>
    <t>WOS:000466449100022</t>
  </si>
  <si>
    <t>Giraldez, MD; Spengler, RM; Etheridge, A; Goicochea, AJ; Tuck, M; Choi, SW; Galas, DJ; Tewari, M</t>
  </si>
  <si>
    <t>Giraldez, Maria D.; Spengler, Ryan M.; Etheridge, Alton; Goicochea, Annika J.; Tuck, Missy; Choi, Sung Won; Galas, David J.; Tewari, Muneesh</t>
  </si>
  <si>
    <t>Phospho-RNA-seq: a modified small RNA-seq method that reveals circulating mRNA and lncRNA fragments as potential biomarkers in human plasma</t>
  </si>
  <si>
    <t>EMBO JOURNAL</t>
  </si>
  <si>
    <t>cell-free RNA; extracellular RNA; liquid biopsy; RNA-seq</t>
  </si>
  <si>
    <t>GENE-EXPRESSION; MICRORNAS; PHOSPHORYLATION; SIGNATURE; VESICLES; ENZYME; ACID</t>
  </si>
  <si>
    <t>Extracellular RNAs (exRNAs) in biofluids have attracted great interest as potential biomarkers. Although extracellular microRNAs in blood plasma are extensively characterized, extracellular messenger RNA (mRNA) and long non-coding RNA (lncRNA) studies are limited. We report that plasma contains fragmented mRNAs and lncRNAs that are missed by standard small RNA-seq protocols due to lack of 5 ' phosphate or presence of 3 ' phosphate. These fragments were revealed using a modified protocol (phospho-RNA-seq) incorporating RNA treatment with T4-polynucleotide kinase, which we compared with standard small RNA-seq for sequencing synthetic RNAs with varied 5 ' and 3 ' ends, as well as human plasma exRNA. Analyzing phospho-RNA-seq data using a custom, high-stringency bioinformatic pipeline, we identified mRNA/lncRNA transcriptome fingerprints in plasma, including tissue-specific gene sets. In a longitudinal study of hematopoietic stem cell transplant patients, bone marrow- and liver-enriched exRNA genes were tracked with bone marrow recovery and liver injury, respectively, providing proof-of-concept validation as a biomarker approach. By enabling access to an unexplored realm of mRNA and lncRNA fragments, phospho-RNA-seq opens up new possibilities for plasma transcriptomic biomarker development.</t>
  </si>
  <si>
    <t>[Giraldez, Maria D.; Spengler, Ryan M.; Goicochea, Annika J.; Tuck, Missy; Tewari, Muneesh] Univ Michigan, Dept Internal Med, Hematol Oncol Div, Ann Arbor, MI 48109 USA; [Giraldez, Maria D.] Inst Biomed Seville IBiS, Seville, Spain; [Giraldez, Maria D.] Virgen del Rocio Univ Hosp, Unit Digest Dis, Seville, Spain; [Etheridge, Alton; Galas, David J.] Pacific Northwest Res Inst, 720 Broadwayess Pkwy, Seattle, WA 98122 USA; [Choi, Sung Won] Univ Michigan, Dept Pediat, Hematol Oncol Div, Ann Arbor, MI 48109 USA; [Tewari, Muneesh] Univ Michigan, Ctr Computat Med &amp; Bioinformat, Ann Arbor, MI 48109 USA; [Tewari, Muneesh] Univ Michigan, Dept Biomed Engn, Ann Arbor, MI 48109 USA; [Tewari, Muneesh] Univ Michigan, Biointerfaces Inst, Ann Arbor, MI 48109 USA</t>
  </si>
  <si>
    <t>University of Michigan System; University of Michigan; Consejo Superior de Investigaciones Cientificas (CSIC); University of Sevilla; CSIC-JA-USE - Instituto de Biomedicina de Sevilla (IBIS); Virgen del Rocio University Hospital; University of Michigan System; University of Michigan; University of Michigan System; University of Michigan; University of Michigan System; University of Michigan; University of Michigan System; University of Michigan</t>
  </si>
  <si>
    <t>Tewari, M (corresponding author), Univ Michigan, Dept Internal Med, Hematol Oncol Div, Ann Arbor, MI 48109 USA.;Tewari, M (corresponding author), Univ Michigan, Ctr Computat Med &amp; Bioinformat, Ann Arbor, MI 48109 USA.;Tewari, M (corresponding author), Univ Michigan, Dept Biomed Engn, Ann Arbor, MI 48109 USA.;Tewari, M (corresponding author), Univ Michigan, Biointerfaces Inst, Ann Arbor, MI 48109 USA.</t>
  </si>
  <si>
    <t>mtewari@med.umich.edu</t>
  </si>
  <si>
    <t>Giraldez, Maria D/E-7395-2018; Spengler, Ryan/J-1412-2018</t>
  </si>
  <si>
    <t>Giraldez, Maria D/0000-0001-6829-7603; Galas, David/0000-0001-8248-8617; Spengler, Ryan/0000-0003-0181-5589</t>
  </si>
  <si>
    <t>0261-4189</t>
  </si>
  <si>
    <t>1460-2075</t>
  </si>
  <si>
    <t>JUN 3</t>
  </si>
  <si>
    <t>e101695</t>
  </si>
  <si>
    <t>10.15252/embj.2019101695</t>
  </si>
  <si>
    <t>WOS:000470014200001</t>
  </si>
  <si>
    <t>Singh, N; Huang, L; Wang, DB; Shao, N; Zhang, XE</t>
  </si>
  <si>
    <t>Singh, Netrapal; Huang, Lin; Wang, Dian-Bing; Shao, Nan; Zhang, Xian-En</t>
  </si>
  <si>
    <t>Simultaneous Detection of a Cluster of Differentiation Markers on Leukemia-Derived Exosomes by Multiplex Immuno-Polymerase Chain Reaction via Capillary Electrophoresis Analysis</t>
  </si>
  <si>
    <t>PCR; BIOMARKERS; EXPRESSION; ANTIGENS; CD117</t>
  </si>
  <si>
    <t>Acute myeloid leukemia (AML) is a heterogeneous disease, and there are critical interests in detecting multiple biomarkers as a single biomarker detection cannot reflect the exact phase of the disease. Exosomes derived from different types of AML cells contain respective combinations of cluster of differentiation (CD) markers that may be used to guide the molecular typing of AML in the clinic. Here, aiming to build more precise molecular typing of AML, we demonstrate multiplex immuno-PCR (mI-PCR) assay for simultaneous detection of multiple surface CDs on exosomes of AML via capillary electrophoresis with laser-induced fluorescence (CE-LIF). This method comprises of four steps: (1) chemical attachment of reporter DNA sequence to the specific detection antibodies, (2) binding of the detection antibodies to their targets on the exosomes, (3) DNA amplification of the reporter DNA, and (4) capillary electrophoresis analysis of the PCR products. With the method, we first realized simultaneous detection of five target CD molecules (CD9, CD34, c-Kit/CD117, CD123, and FLT-3/CD135) on leukemia cell-derived exosomes with high detection sensitivity. The limit of detection (LOD) and limit of quantification (LOQ) are 2.41 +/- 0.04 particles/mu L and 8.02 +/- 0.16 particles/mu L, respectively, for leukemia cellderived exosomes. This mI-PCR is found sensitive enough to detect picogram (10(-12)) levels of protein concentrations with high recovery (95%) in spiked serum sample experiments. We thus anticipate that the proposed method is promising in sensitive detection of multitargets to assist in the precise molecular typing of many complex diseases.</t>
  </si>
  <si>
    <t>[Singh, Netrapal; Huang, Lin; Wang, Dian-Bing; Shao, Nan; Zhang, Xian-En] Chinese Acad Sci, CAS Ctr Biol Macromol, Inst Biophys, Natl Key Lab Biomacromol, Beijing 100101, Peoples R China; [Singh, Netrapal; Zhang, Xian-En] Chinese Acad Sci, Inst Synthet Biol, Shenzhen Inst Adv Technol, Shenzhen 518055, Peoples R China; [Zhang, Xian-En] Univ Chinese Acad Sci, Beijing 100049, Peoples R China</t>
  </si>
  <si>
    <t>Chinese Academy of Sciences; Institute of Biophysics, CAS; Chinese Academy of Sciences; Shenzhen Institute of Advanced Technology, CAS; Chinese Academy of Sciences; University of Chinese Academy of Sciences, CAS</t>
  </si>
  <si>
    <t>Zhang, XE (corresponding author), Chinese Acad Sci, CAS Ctr Biol Macromol, Inst Biophys, Natl Key Lab Biomacromol, Beijing 100101, Peoples R China.;Zhang, XE (corresponding author), Chinese Acad Sci, Inst Synthet Biol, Shenzhen Inst Adv Technol, Shenzhen 518055, Peoples R China.;Zhang, XE (corresponding author), Univ Chinese Acad Sci, Beijing 100049, Peoples R China.</t>
  </si>
  <si>
    <t>zhangxe@ibp.ac.cn</t>
  </si>
  <si>
    <t>Wang, Dian-Bing/0000-0001-6225-7010; Singh, Netrapal/0000-0001-6762-1707; Zhang, Xian-En/0000-0003-1347-3168</t>
  </si>
  <si>
    <t>AUG 4</t>
  </si>
  <si>
    <t>10.1021/acs.analchem.0c01464</t>
  </si>
  <si>
    <t>WOS:000558761500050</t>
  </si>
  <si>
    <t>Millner, LM; Strotman, LN</t>
  </si>
  <si>
    <t>Millner, Lori M.; Strotman, Lindsay N.</t>
  </si>
  <si>
    <t>The Future of Precision Medicine in Oncology</t>
  </si>
  <si>
    <t>CLINICS IN LABORATORY MEDICINE</t>
  </si>
  <si>
    <t>Liquid biopsy; Targeted therapy; Circulating tumor cell (CTC); Cell-free nucleic acid (cfNA); Exosomes; Extracellular vesicle (EV)</t>
  </si>
  <si>
    <t>CIRCULATING TUMOR-CELLS; EXTRACELLULAR VESICLES; MOLECULAR MARKERS; PLASMA DNA; CANCER; BIOMARKERS; DIAGNOSIS; MELANOMA; MUTATIONS; SELECTION</t>
  </si>
  <si>
    <t>Precision medicine in oncology focuses on identifying which therapies are most effective for each patient based on genetic characterization of the cancer. Traditional chemotherapy is cytotoxic and destroys all cells that are rapidly dividing. The foundation of precision medicine is targeted therapies and selecting patients who will benefit most from these therapies. One of the newest aspects of precision medicine is liquid biopsy. A liquid biopsy includes analysis of circulating tumor cells, cell-free nucleic acid, or exosomes obtained from a peripheral blood draw. These can be studied individually or in combination and collected serially, providing real-time information as a patient's cancer changes.</t>
  </si>
  <si>
    <t>[Millner, Lori M.; Strotman, Lindsay N.] PGXL Technol, 201 East Jefferson St,Suite 306, Louisville, KY 40202 USA; [Millner, Lori M.] Univ Louisville, Dept Pathol &amp; Lab Med, Louisville, KY 40292 USA; [Strotman, Lindsay N.] Univ Louisville, Dept Engn, Louisville, KY 40292 USA</t>
  </si>
  <si>
    <t>Strotman, LN (corresponding author), PGXL Technol, 201 East Jefferson St,Suite 306, Louisville, KY 40202 USA.</t>
  </si>
  <si>
    <t>lindsay.strotman@pgxlab.com</t>
  </si>
  <si>
    <t>0272-2712</t>
  </si>
  <si>
    <t>1557-9832</t>
  </si>
  <si>
    <t>10.1016/j.cii.2016.05.003</t>
  </si>
  <si>
    <t>WOS:000382802500009</t>
  </si>
  <si>
    <t>Sun, CY; Chen, GD; He, BC; Fu, WE; Lee, CH; Leu, YW; Hsiao, SH</t>
  </si>
  <si>
    <t>Sun, Chiao-Yin; Chen, Guo-Dung; He, Bo-Ching; Fu, Wei-En; Lee, Chia-Huei; Leu, Yu-Wei; Hsiao, Shu-Huei</t>
  </si>
  <si>
    <t>Dysregulated HIC1 and RassF1A expression in vitro alters the cell cytoskeleton and exosomal Piwi-interacting RNA</t>
  </si>
  <si>
    <t>Cell stiffness; piRNA; Biomarkers; Extracellular vesicles; Renal cell carcinoma</t>
  </si>
  <si>
    <t>TUMOR-SUPPRESSOR GENES; DNA METHYLATION; PROTEIN; SERUM</t>
  </si>
  <si>
    <t>HIC1 and RassF1A methylation, which cause loss of gene function, are found in various cancers, including renal cell carcinoma (RCC), and could alter cell stiffness and the content of extracellular vesicles (EVs). These physiological changes may provide a tumoral survival advantage and thus could serve as cellular biomarkers for monitoring cell transformation, although direct associations between these changes and cell transformation remain to be established. As we found HIC1 and RassF1A methylation and expression changes in RCC samples, we examined the effects of gain and loss of HIC1 and RassF1A expression on cell DNA content, cytoskeletal structure, and Piwi-interacting RNA (piRNA) expression in EVs. We found HIC1 and RassF1A hypermethylation and abnormal expression in RCC patient samples was independent of the somatic mutations found in publicly available data. Cell stiffness was reduced in accordance with disrupted cytoskeleton conformation after knockdown of HIC1 or RassF1A. Gain or loss of HIC1 expression induced instability in genomic content, abnormal RassF1A expression disturbed cytoskeletal structure, and the abnormal expression of either gene altered piRNA content in EVs. These results suggest a causal relationship between abnormal tumor suppressor gene expression, cell stiffness, and piRNA expression. (c) 2022 Published by Elsevier Inc.</t>
  </si>
  <si>
    <t>[Sun, Chiao-Yin] Keelung Chang Gung Mem Hosp, Dept Nephrol, Keelung 204, Taiwan; [Sun, Chiao-Yin] Chang Gung Univ, Coll Med, Taoyuan 333, Taiwan; [Chen, Guo-Dung; He, Bo-Ching; Fu, Wei-En] Ind Technol Res Inst, Ctr Measurement Stand, Nano &amp; Mech Measurement Lab, Hsinchu, Taiwan; [Lee, Chia-Huei] Natl Hlth Res Inst, Natl Inst Canc Res, Zhunan 350, Taiwan; [Leu, Yu-Wei; Hsiao, Shu-Huei] Natl Chung Cheng Univ, Dept Biomed Sci, Chiayi 621, Taiwan</t>
  </si>
  <si>
    <t>Chang Gung Memorial Hospital; Chang Gung University; Industrial Technology Research Institute - Taiwan; National Health Research Institutes - Taiwan; National Chung Cheng University</t>
  </si>
  <si>
    <t>Leu, YW; Hsiao, SH (corresponding author), Natl Chung Cheng Univ, Dept Biomed Sci, Chiayi 621, Taiwan.</t>
  </si>
  <si>
    <t>bioywl@ccu.edu.tw; bioshh@ccu.edu.tw</t>
  </si>
  <si>
    <t>Lee, Chia-Huei/0000-0002-8847-3288</t>
  </si>
  <si>
    <t>FEB 26</t>
  </si>
  <si>
    <t>10.1016/j.bbrc.2022.01.065</t>
  </si>
  <si>
    <t>WOS:000748425600010</t>
  </si>
  <si>
    <t>Lewis, JM; Dhawan, S; Obirieze, AC; Sarno, B; Akers, J; Heller, MJ; Chen, CC</t>
  </si>
  <si>
    <t>Lewis, Jean M.; Dhawan, Sanjay; Obirieze, Augustine C.; Sarno, Benjamin; Akers, Johnny; Heller, Michael J.; Chen, Clark C.</t>
  </si>
  <si>
    <t>Plasma Biomarker for Post-concussive Syndrome: A Pilot Study Using an Alternating Current Electro-Kinetic Platform</t>
  </si>
  <si>
    <t>FRONTIERS IN NEUROLOGY</t>
  </si>
  <si>
    <t>alternating current electrokinetics; traumatic brain injury; biomarkers; extracellular vesicles; concussion</t>
  </si>
  <si>
    <t>TRAUMATIC BRAIN-INJURY; FIBRILLARY ACIDIC PROTEIN; C-TERMINAL HYDROLASE; CELL-FREE DNA; MARKER; CLASSIFICATION; SYSTEM; DAMAGE; GFAP</t>
  </si>
  <si>
    <t>Background:Technology platforms that afford biomarker discovery in patients suffering from traumatic brain injury (TBI) remain an unmet medical need. Here, we describe an observational pilot study to explore the utility of an alternating current electrokinetic (ACE) microchip device in this context. Methods:Blood samples were collected from participating subjects with and without minor TBI. Plasma levels of glial fibrillary acidic protein (GFAP), Tau, ubiquitin C-terminal hydrolase L1 (UCH-L1), and cell-free DNA (cfDNA) were determined in subjects with and without minor TBI using ACE microchip device followed by on-chip immunofluorescent analysis. Post-concussive symptoms were assessed using the Rivermead Post Concussion Symptoms Questionnaire (RPCSQ) at one-month follow-up. Results:Highest levels of GFAP, UCH-L1, and Tau were seen in two minor TBI subjects with abnormality on head computed tomography (CT). In patients without abnormal head CT, Tau and GFAP levels discriminated between plasma from minor-TBI and non-TBI patients, with sensitivity and specificity of 64-72 and 50%, respectively. Plasma GFAP, UCH-L1, and Tau strongly correlated with the cumulative RPCSQ score. Plasma UCH-L1 and GFAP exhibited highest correlation to sensitivity to noise and light (r= 0.96 and 0.91, respectively,p&lt; 0.001). Plasma UCH-L1 and Tau showed highest correlation with headache (r= 0.74 and 0.78, respectively,p&lt; 0.001), sleep disturbance (r= 0.69 and 0.84, respectively,p&lt; 0.001), and cognitive symptoms, including forgetfulness (r= 0.76 and 0.74, respectively,p&lt; 0.001), poor concentration (r= 0.68 and 0.76, respectively,p&lt; 0.001), and time required for information processing (r= 0.77 and 0.81, respectively,p&lt; 0.001). cfDNA exhibited a strong correlation with depression (r= 0.79,p&lt; 0.01) and dizziness (r= 0.69,p&lt; 0.01). While cfDNA demonstrated positive correlation with dizziness and depression (r= 0.69 and 0.79, respectively,p&lt; 0.001), no significant correlation was observed between cumulative RPCSQ and cfDNA (r= 0.07,p= 0.81). Conclusion:We provide proof-of-principle results supporting the utility of ACE microchip for plasma biomarker analysis in patients with minor TBI.</t>
  </si>
  <si>
    <t>[Lewis, Jean M.; Obirieze, Augustine C.; Sarno, Benjamin; Heller, Michael J.] Univ Calif San Diego, Dept Nanoengn, San Diego, CA 92103 USA; [Dhawan, Sanjay; Chen, Clark C.] Univ Minnesota, Dept Neurosurg, Minneapolis, MN 55455 USA; [Akers, Johnny] VisiCELL Med Inc, San Diego, CA USA; [Heller, Michael J.] Univ Calif San Diego, Dept Bioengn, San Diego, CA 92103 USA</t>
  </si>
  <si>
    <t>University of California System; University of California San Diego; University of Minnesota System; University of Minnesota Twin Cities; University of California System; University of California San Diego</t>
  </si>
  <si>
    <t>Chen, CC (corresponding author), Univ Minnesota, Dept Neurosurg, Minneapolis, MN 55455 USA.</t>
  </si>
  <si>
    <t>ccchen@umn.edu</t>
  </si>
  <si>
    <t>1664-2295</t>
  </si>
  <si>
    <t>JUL 14</t>
  </si>
  <si>
    <t>10.3389/fneur.2020.00685</t>
  </si>
  <si>
    <t>WOS:000556308500001</t>
  </si>
  <si>
    <t>Stickeler, E</t>
  </si>
  <si>
    <t>Stickeler, Elmar</t>
  </si>
  <si>
    <t>Urinalysis: the new liquid biopsy</t>
  </si>
  <si>
    <t>GYNAKOLOGE</t>
  </si>
  <si>
    <t>Exosomes; Nucleic acids; Cholestasis; intrahepatic; Diabetes; gestational; Circulating tumor DNA</t>
  </si>
  <si>
    <t>Background In oncology, liquid biopsy focusses, in addition to the detection of tumour cells, mainly on the blood-based analysis of nucleic acids to identify tumour cells as well as tumour DNA. Potential indications include screening for cancer, monitoring of treatment, use as a prognostic biomarker and detection of newly acquired mutations for targeted treatment. Objectives Urine-based liquid biopsy offers potential advantages over blood-based analyses. Urine is available in large quantities and can be collected by non-invasive methods. Is urinary liquid biopsy able to measure miRNA, exosomes, ctDNA and the proteomic pattern of tumors with a sensitivity and specificity comparable to blood-based analyses, thereby providing clinical utility? Methods A systematic review of the literature in Pubmed was performed using the search term urinary liquid biopsy and taking into account single studies, reviews and meta-analyses. Results The small, and mostly retrospective, studies showed that urinary liquid biopsy is technically feasible and that specific patterns (miRNA, exosomes, proteom, ctDNA) as diagnostic biomarkers identify patients with precancerous lesions of the cervix, as well as with invasive breast, ovarian and endometrial cancer. Monitoring of oncological treatments, as well as detection of specific mutations as potential therapeutic targets, is possible. In addition, promising indications for the technology were identified in obstetrics, such as the verification of gestational diabetes or intrahepatic cholestasis of pregnancy. Conclusions With further indications, the increasing standardization of sample processing and growing numbers of prospective studies, urinary liquid biopsy offers great potential for its clinically useful deployment in practice.</t>
  </si>
  <si>
    <t>[Stickeler, Elmar] Univ Klinikum Aachen, Klin Gynakol &amp; Geburtsmed, Pauwelsstr 30, D-52074 Aachen, Germany</t>
  </si>
  <si>
    <t>RWTH Aachen University; RWTH Aachen University Hospital</t>
  </si>
  <si>
    <t>Stickeler, E (corresponding author), Univ Klinikum Aachen, Klin Gynakol &amp; Geburtsmed, Pauwelsstr 30, D-52074 Aachen, Germany.</t>
  </si>
  <si>
    <t>estickeler@ukaachen.de</t>
  </si>
  <si>
    <t>Stickeler, Elmar/AHE-9022-2022</t>
  </si>
  <si>
    <t>0017-5994</t>
  </si>
  <si>
    <t>1433-0393</t>
  </si>
  <si>
    <t>10.1007/s00129-021-04749-w</t>
  </si>
  <si>
    <t>WOS:000614684800001</t>
  </si>
  <si>
    <t>Mamaeva, SN; Kononova, IV; Alekseev, VA; Nikolaev, NA; Pavlov, AN; Semenova, MN; Maksimov, GV</t>
  </si>
  <si>
    <t>Mamaeva, S. N.; Kononova, I. V.; Alekseev, V. A.; Nikolaev, N. A.; Pavlov, A. N.; Semenova, M. N.; Maksimov, G. V.</t>
  </si>
  <si>
    <t>Determination of Blood Parameters using Scanning Electron Microscopy as a Prototype Model for Evaluating the Effectiveness of Radiation Therapy for Cervical Cancer</t>
  </si>
  <si>
    <t>INTERNATIONAL JOURNAL OF BIOMEDICINE</t>
  </si>
  <si>
    <t>scanning electron microscopy; cervical cancer; extracellular vesicle; nanoparticle</t>
  </si>
  <si>
    <t>Using the method of SEM in patients with cervical cancer (CC) during radiation therapy (RT) revealed differences in the size and morphology of nanoparticles (NPs) localized on the outer surface of the erythrocyte membrane. We found that NP-V (viruses) objects localized on the surface of the erythrocyte membrane of CC patients before RT have more distinct contours and are smaller in comparison with the number of NP-EV (extracellular vesicles) arising during RT. Our previous study showed that NP-V objects are evenly distributed not only on the surface of erythrocytes but also in blood plasma, and that during the RT the amount of NP-V decreases, while NP-EV both increases and decreases. The linear size of the NP-EV is characterized by a Gaussian distribution, while the NP-V has a normal size distribution in certain ranges with different mean values. We found that the number of NP-Vs having different linear dimensions differ significantly. Using X-ray radiation, we established characteristic elemental composition of NP. The PCR method was used to determine the HPV DNA in blood samples from CC patients. The revealed differences in the morphology and composition of NP, as well as the data of PCR analysis, possibly indicate their different nature and can be used as a criterion for assessing the effectiveness of RT and the recovery period.</t>
  </si>
  <si>
    <t>[Mamaeva, S. N.; Nikolaev, N. A.; Pavlov, A. N.; Semenova, M. N.] MK Ammosov North Eastern Fed Univ, Med Inst, Yakutsk, Russia; [Kononova, I. V.; Alekseev, V. A.] Yakut Sci Ctr Complex Med Problems, Yakutsk, Russia; [Semenova, M. N.] Republican Oncol Dispensary, Yakutsk, Russia; [Maksimov, G. V.] Lomonosov Moscow State Univ, Moscow, Russia; [Maksimov, G. V.] Natl Univ Sci &amp; Technol MISiS, Moscow, Russia</t>
  </si>
  <si>
    <t>North-Eastern Federal University in Yakutsk; Yakut Science Centre of Complex Medical Problems; Lomonosov Moscow State University; National University of Science &amp; Technology (MISIS)</t>
  </si>
  <si>
    <t>Kononova, IV (corresponding author), Yakut Sci Ctr Complex Med Problems, Yakutsk, Russia.</t>
  </si>
  <si>
    <t>irinakon.07@mail.ru</t>
  </si>
  <si>
    <t>Alekseev, Vladislav/G-6157-2019</t>
  </si>
  <si>
    <t>Alekseev, Vladislav/0000-0001-6751-6210</t>
  </si>
  <si>
    <t>2158-0510</t>
  </si>
  <si>
    <t>2158-0529</t>
  </si>
  <si>
    <t>10.21103/Article11(1)_OA6</t>
  </si>
  <si>
    <t>WOS:000634017700006</t>
  </si>
  <si>
    <t>Wisler, JW; Becker, RC</t>
  </si>
  <si>
    <t>Wisler, James W.; Becker, Richard C.</t>
  </si>
  <si>
    <t>Emerging paradigms in arterial thrombosis</t>
  </si>
  <si>
    <t>JOURNAL OF THROMBOSIS AND THROMBOLYSIS</t>
  </si>
  <si>
    <t>Thrombosis; Cell-free DNA; Histones; NETs; Polyphosphates; Microvesicles</t>
  </si>
  <si>
    <t>TISSUE FACTOR ACTIVITY; NEUTROPHIL EXTRACELLULAR TRAPS; FACTOR-POSITIVE MICROPARTICLES; CELL-FREE DNA; BLOOD-PLASMA; IN-VIVO; COAGULATION ACTIVATION; DEOXYRIBONUCLEIC-ACID; ENDOTHELIAL-CELLS; GLYCOPROTEIN-VI</t>
  </si>
  <si>
    <t>A traditional perspective of arterial thrombosis begins with vessel wall injury and exposure of subendothelial proteins, including collagen and tissue factor, to circulating cellular and non-cellular components. Adhesion and activation of platelets, mediated by their interaction with von Willebrand protein and collagen, respectively, coupled with tissue factor-mediated activation of coagulation proteins, results in thrombin generation and fibrin formation. While this time-honored paradigm remains firm and soundly based, emerging evidence suggests that arterial thrombosis is much more complex and dynamic than originally believed. Several novel triggers, templates and facilitators, such as cell-free nucleic acids, histones, DNA-histone complexes, polyphosphates, and microvesicles have recently been identified and require inclusion in the expanding universe of thrombosis as a dominant phenotype of human disease. Because these mediators appear to have modest if any effect on physiologic hemostasis, they likely represent acquired and disease or condition-dependent processes that are highly attractive targets for pharmacologic intervention.</t>
  </si>
  <si>
    <t>[Wisler, James W.] Duke Univ, Med Ctr, Div Cardiol, Durham, NC 27705 USA; [Becker, Richard C.] Duke Univ, Med Ctr, Duke Clin Res Inst, Div Cardiol, Durham, NC 27705 USA; [Becker, Richard C.] Duke Univ, Med Ctr, Duke Clin Res Inst, Div Hematol, Durham, NC 27705 USA; [Becker, Richard C.] Duke Univ, Med Ctr, Duke Clin Res Inst, Cardiovasc Thrombosis Ctr, Durham, NC 27705 USA</t>
  </si>
  <si>
    <t>Duke University; Duke University; Duke University; Duke University</t>
  </si>
  <si>
    <t>Wisler, JW (corresponding author), Duke Univ, Med Ctr, Div Cardiol, 7400,2301 Erwin Rd, Durham, NC 27705 USA.</t>
  </si>
  <si>
    <t>jim.wisler@duke.edu</t>
  </si>
  <si>
    <t>0929-5305</t>
  </si>
  <si>
    <t>1573-742X</t>
  </si>
  <si>
    <t>10.1007/s11239-013-0965-1</t>
  </si>
  <si>
    <t>Cardiac &amp; Cardiovascular Systems; Hematology; Peripheral Vascular Disease</t>
  </si>
  <si>
    <t>Cardiovascular System &amp; Cardiology; Hematology</t>
  </si>
  <si>
    <t>WOS:000329941200002</t>
  </si>
  <si>
    <t>van der Ree, MH; Jansen, L; Kruize, Z; van Nuenen, AC; van Dort, KA; Takkenberg, RB; Reesink, HW; Kootstra, NA</t>
  </si>
  <si>
    <t>van der Ree, Meike H.; Jansen, Louis; Kruize, Zita; van Nuenen, Ad C.; van Dort, Karel A.; Takkenberg, R. Bart; Reesink, Hendrik W.; Kootstra, Neeltje A.</t>
  </si>
  <si>
    <t>Plasma MicroRNA Levels Are Associated With Hepatitis B e Antigen Status and Treatment Response in Chronic Hepatitis B Patients</t>
  </si>
  <si>
    <t>microRNA; hepatitis B virus; chronic hepatitis B patients; treatment outcome</t>
  </si>
  <si>
    <t>LIVER-SPECIFIC MICRORNA; VIRUS-INFECTION; HEPATOCELLULAR-CARCINOMA; SURFACE-ANTIGEN; GENE-EXPRESSION; PCR DATA; REPLICATION; CELLS; PROGRESSION; CANCER</t>
  </si>
  <si>
    <t>Background. Hepatitis B virus (HBV) modulates microRNA (miRNA) expression to support viral replication. The aim of this study was to identify miRNAs associated with hepatitis B e antigen (HBeAg) status and response to antiviral therapy in patients with chronic hepatitis B (CHB), and to assess if these miRNAs are actively secreted by hepatoma cells. Methods. Plasma miRNA levels were measured by reverse-transcription quantitative polymerase chain reaction in healthy controls (n = 10) and pretreatment samples of an identification cohort (n = 24) and a confirmation cohort (n = 64) of CHB patients treated with peginterferon/nucleotide analogue combination therapy. Levels of HBV-associated miRNAs were measured in cells, extracellular vesicles, and hepatitis B surface antigen (HBsAg) particles of hepatoma cell lines. Results. HBeAg-positive patients had higher plasma levels of miR-122-5p, miR-125b-5p, miR-192-5p, miR-193b-3p, and miR194-5p compared to HBeAg-negative patients, and levels of these miRNAs were associated with HBV DNA and HBsAg levels. Pretreatment plasma levels of miR-301a-3p and miR-145-5p were higher in responders (combined response or HBsAg loss) compared to nonresponders. miR-192-5p, miR-193b-3p, and miR-194-5p were present in extracellular vesicles and HBsAg particles derived from hepatoma cells. Conclusions. We identified miRNAs that are associated with HBeAg status, levels of HBV DNA and HBsAg, and treatment response in CHB patients. We demonstrated that several of these miRNAs are present in extracellular vesicles and HBsAg particles secreted by hepatoma cells.</t>
  </si>
  <si>
    <t>[van der Ree, Meike H.; Jansen, Louis; Takkenberg, R. Bart; Reesink, Hendrik W.] Acad Med Ctr, Dept Gastroenterol &amp; Hepatol, Amsterdam, Netherlands; [van der Ree, Meike H.; Jansen, Louis; Kruize, Zita; van Nuenen, Ad C.; van Dort, Karel A.; Reesink, Hendrik W.; Kootstra, Neeltje A.] Acad Med Ctr, Dept Expt Immunol, Amsterdam, Netherlands</t>
  </si>
  <si>
    <t>University of Amsterdam; Academic Medical Center Amsterdam; University of Amsterdam; Academic Medical Center Amsterdam</t>
  </si>
  <si>
    <t>Kootstra, NA (corresponding author), Acad Med Ctr, Dept Expt Immunol, Amsterdam, Netherlands.;Kootstra, NA (corresponding author), Acad Med Ctr, Meibergdreef 9, NL-1105 AZ Amsterdam, Netherlands.</t>
  </si>
  <si>
    <t>n.a.kootstra@amc.uva.nl</t>
  </si>
  <si>
    <t>Takkenberg, Robert Bart/AAN-6702-2020</t>
  </si>
  <si>
    <t>Takkenberg, R.B./0000-0003-2179-1385; Kootstra, Neeltje A./0000-0001-9429-7754; Kruize, Zita/0000-0002-9098-9312</t>
  </si>
  <si>
    <t>MAY 1</t>
  </si>
  <si>
    <t>10.1093/infdis/jix140</t>
  </si>
  <si>
    <t>WOS:000402614600012</t>
  </si>
  <si>
    <t>Albanese, J; Dainiak, N</t>
  </si>
  <si>
    <t>Early plasma membrane events occurring in ultraviolet-B-induced apoptosis</t>
  </si>
  <si>
    <t>STEM CELLS</t>
  </si>
  <si>
    <t>Meeting on the Biological Effects of Radiation Injury</t>
  </si>
  <si>
    <t>MAR 22-25, 1996</t>
  </si>
  <si>
    <t>MINSK, BYELARUS</t>
  </si>
  <si>
    <t>radiation; apoptosis; membrane shedding</t>
  </si>
  <si>
    <t>COLONY-STIMULATING FACTOR; RECEPTOR TYROSINE KINASE; NF-KAPPA-B; CELL-SURFACE; GENE-EXPRESSION; HUMAN KERATINOCYTES; SOLUBLE FORMS; GROWTH-FACTOR; HUMAN CSF-1; STEM-CELLS</t>
  </si>
  <si>
    <t>Whereas nonsolar ultraviolet C radiation primarily affects nuclei (i.e., where it is absorbed by nucleic acids) of eukaryotic cells, ultraviolet radiation of long (320-380 nm) wavelengths (ultraviolet A) and intermediate (290-320 mn) wavelengths (ultraviolet B) primarily affects lipid membranes. We have previously demonstrated that ultraviolet B irradiation alters the surface architecture of human B cells and impairs expression of an erythroid growth factor on their surface and on extracellular vesicles. Here, we examined the effects of ultraviolet B irradiation on the capacity of Chinese hamster ovary cells to undergo the process of exfoliation, and on the capacity of Chinese hamster ovary cells transfected with flt3/flk2 cDNA to express the cytokine flt3/flk2. Our results indicate that the rate of release of shed vesicles from untransfected Chinese hamster ovary cells is decreased after one to two h, at a time when there is electron microscopic evidence for retention of vesicles at the cell surface. These changes at the cell surface precede all other apparent morphological changes (including DNA condensation in the nucleus, swelling of the mitochondria and appearance of apoptotic bodies). Furthermore, plasma membranes and shed extracellular vesicles from ultraviolet B irradiated Chinese hamster ovary cells that have been transfected with flt3/flk2 cDNA fail to express the protein.</t>
  </si>
  <si>
    <t>YALE UNIV, BRIDGEPORT HOSP, DEPT MED, BRIDGEPORT, CT USA</t>
  </si>
  <si>
    <t>Yale University</t>
  </si>
  <si>
    <t>Albanese, J (corresponding author), MCGILL UNIV, ROYAL VICTORIA HOSP, DEPT MED, MONTREAL, PQ H3A 1A1, CANADA.</t>
  </si>
  <si>
    <t>Albanese, Jacques/AAS-7466-2021</t>
  </si>
  <si>
    <t>1066-5099</t>
  </si>
  <si>
    <t>1549-4918</t>
  </si>
  <si>
    <t>Cell &amp; Tissue Engineering; Biotechnology &amp; Applied Microbiology; Oncology; Cell Biology; Hematology</t>
  </si>
  <si>
    <t>Cell Biology; Biotechnology &amp; Applied Microbiology; Oncology; Hematology</t>
  </si>
  <si>
    <t>WOS:A1997YF08200008</t>
  </si>
  <si>
    <t>Kalnina, Z; Meistere, I; Kikuste, I; Tolmanis, I; Zayakin, P; Line, A</t>
  </si>
  <si>
    <t>Kalnina, Zane; Meistere, Irena; Kikuste, Ilze; Tolmanis, Ivars; Zayakin, Pawel; Line, Aija</t>
  </si>
  <si>
    <t>Emerging blood-based biomarkers for detection of gastric cancer</t>
  </si>
  <si>
    <t>WORLD JOURNAL OF GASTROENTEROLOGY</t>
  </si>
  <si>
    <t>Gastric cancer; Biomarker; Liquid biopsy; Cell-free DNA; Cell-free RNA; Extracellular vesicles; Autoantibodies; Proteomics</t>
  </si>
  <si>
    <t>CELL-FREE DNA; HUMORAL IMMUNE-RESPONSE; CIRCULATING TUMOR-CELLS; LONG NONCODING RNAS; CLINICAL-SIGNIFICANCE; POTENTIAL BIOMARKERS; SERUM PEPSINOGEN; PROGNOSTIC VALUE; BREAST-CANCER; PROMOTER HYPERMETHYLATION</t>
  </si>
  <si>
    <t>Early detection and efficient monitoring of tumor dynamics are prerequisites for reducing disease burden and mortality, and for improving the management of patients with gastric cancer (GC). Blood-based biomarker assays for the detection of early-stage GC could be of great relevance both for population-wide or risk group-based screening programs, while circulating biomarkers that reflect the genetic make-up and dynamics of the tumor would allow monitoring of treatment efficacy, predict recurrences and assess the genetic heterogeneity of the tumor. Recent research to identify blood-based biomarkers of GC has resulted in the identification of a wide variety of cancer-associated molecules, including various proteins, autoantibodies against tumor associated antigens, cell-free DNA fragments, mRNAs and various non-coding RNAs, circulating tumor cells and cancer-derived extracellular vesicles. Each type of these biomarkers provides different information on the disease status, has different advantages and disadvantages, and distinct clinical usefulness. In the current review, we summarize the recent developments in blood-based GC biomarker discovery, discuss the origin of various types of biomarkers and their clinical usefulness and the technological challenges in the development of biomarker assays for clinical use.</t>
  </si>
  <si>
    <t>[Kalnina, Zane; Meistere, Irena; Zayakin, Pawel; Line, Aija] Latvian Biomed Res &amp; Study Ctr, LV-1067 Riga, Latvia; [Kikuste, Ilze; Tolmanis, Ivars] Digest Dis Ctr GASTRO, LV-1006 Riga, Latvia; [Kikuste, Ilze] Latvian State Univ, Fac Med, LV-1586 Riga, Latvia</t>
  </si>
  <si>
    <t>Latvian Biomedical Research &amp; Study Centre; University of Latvia</t>
  </si>
  <si>
    <t>Line, A (corresponding author), Latvian Biomed Res &amp; Study Ctr, Canc Biomarker Grp, Ratsupites Str 1,K-1, LV-1067 Riga, Latvia.</t>
  </si>
  <si>
    <t>aija@biomed.lu.lv</t>
  </si>
  <si>
    <t>Zayakin, Pawel/AAJ-8418-2021; Zayakin, Pawel/GPC-4340-2022; Kalnina, Zane/AAH-9884-2021; Linē, Aija/AAH-9999-2021</t>
  </si>
  <si>
    <t>Zayakin, Pawel/0000-0002-5336-3484; Kalnina, Zane/0000-0001-9002-3131; Linē, Aija/0000-0002-8492-4758; TOLMANIS, IVARS/0000-0003-0783-6460; Meistere, Irena/0000-0002-4694-3042</t>
  </si>
  <si>
    <t>1007-9327</t>
  </si>
  <si>
    <t>2219-2840</t>
  </si>
  <si>
    <t>NOV 7</t>
  </si>
  <si>
    <t>10.3748/wjg.v21.i41.11636</t>
  </si>
  <si>
    <t>WOS:000365025100012</t>
  </si>
  <si>
    <t>MENON, S; ISENBERG, DA</t>
  </si>
  <si>
    <t>FETAL CALF SERUM IN GROWTH-MEDIUM OBSCURES THE DETECTION OF EARLY ANTICARDIOLIPIN ANTIBODY-SECRETING CLONES</t>
  </si>
  <si>
    <t>JOURNAL OF IMMUNOLOGICAL METHODS</t>
  </si>
  <si>
    <t>MONOCLONAL ANTICARDIOLIPIN ANTIBODY; FETAL CALF SERUM; MICROVESICLE</t>
  </si>
  <si>
    <t>SYSTEMIC LUPUS-ERYTHEMATOSUS; PLASMA-MEMBRANE; DNA ANTIBODIES; THROMBOSIS; PROTEINS; COMPLEX; CELLS</t>
  </si>
  <si>
    <t>We have examined the effect of fetal calf serum (FCS) on the detection of early anticardiolipin antibody (ACL) secreting clones, using two well-established human IgG clones, LJ1 and AH2. By plating cells at 50/well and growing both clones simultaneously in standard growth (SG) medium containing 10% FCS, and in serum-free (SF) medium, we were able to measure by ELISA the total IgG and ACL levels in the supernatants. The mean OD values (x1000) against cardiolipin for both LJ1 and AH2 were significantly higher for clones grown in SF than in SG medium: 331 OD units vs. 172, and 275 OD units vs. 166 respectively (p &lt; 0.001). Importantly, the number of wells in which the OD value was &gt; 0.25 units above background was: for LJ1 in SG only 3/36 vs. 30/36 in SF; similarly, for AH2 1/36 in SG vs. 22/36 in SF. In comparison, the total IgG assay using an OD value &gt; 0.7 units above background, detected immunoglobulin secretion in all but one of the wells. We conclude that in ELISA procedures FCS in SG medium competes with solid phase cardiolipin for antibody binding. We suggest that these antibodies are binding to phospholipid from microvesicles found in FCS. We recommend that minimally 'positive' clones on testing should be re-tested and, if necessary, switched to SF medium in order to prevent such clones from being discarded prematurely.</t>
  </si>
  <si>
    <t>MENON, S (corresponding author), UCL, SCH MED,DEPT MED,DIV RHEUMATOL, BLOOMSBURY RHEUMATOL UNIT, ARTHUR STANLEY HOUSE, LONDON W1P 9PG, ENGLAND.</t>
  </si>
  <si>
    <t>Isenberg, David/0000-0001-9514-2455</t>
  </si>
  <si>
    <t>0022-1759</t>
  </si>
  <si>
    <t>OCT 12</t>
  </si>
  <si>
    <t>10.1016/0022-1759(95)00134-V</t>
  </si>
  <si>
    <t>Biochemical Research Methods; Immunology</t>
  </si>
  <si>
    <t>WOS:A1995TA53200007</t>
  </si>
  <si>
    <t>Wang, W; Kong, P; Ma, G; Li, L; Zhu, J; Xia, TS; Xie, H; Zhou, WB; Wang, S</t>
  </si>
  <si>
    <t>Wang, Wei; Kong, Peng; Ma, Ge; Li, Li; Zhu, Jin; Xia, Tiansong; Xie, Hui; Zhou, Wenbin; Wang, Shui</t>
  </si>
  <si>
    <t>Characterization of the release and biological significance of cell-free DNA from breast cancer cell lines</t>
  </si>
  <si>
    <t>breast cancer; cell-free DNA; circulating tumor DNA; biological significance</t>
  </si>
  <si>
    <t>FREE NUCLEIC-ACIDS; CIRCULATING TUMOR DNA; PLASMA DNA; INFLAMMATION; RECOGNITION; BIOMARKERS; EXOSOMES</t>
  </si>
  <si>
    <t>In breast cancer, cell-free DNA (cfDNA) has been proven to be a diagnostic and prognostic biomarker. However, there have been few studies on the origin and biological significance of cfDNA. In this study, we assessed the release pattern of cfDNA from breast cancer cell lines under different culture conditions and investigated the biological significance of cfDNA. The cfDNA concentration increased rapidly (6 h) after passage, decreased gradually, and was then maintained at a relatively stable level after 24 h. In addition, the cfDNA concentration did not correlate with the amount of apoptotic and necrotic cells. Interestingly, if more cells were in the G1 phase, more cfDNA was detected (p &lt; 0.01) and the cfDNA concentration correlated positively with the percent of cells in the G1 phase (p &lt; 0.05). We observed that cells could release cfDNA actively, but not exclusively, via exosomes. Furthermore, we showed that cfDNA could stimulate hormone receptor-positive breast cancer cell proliferation by activating the TLR9-NF-KB-cyclin D1 pathway. In conclusion, cfDNA is released from breast cancer mainly by active secretion, and cfDNA could stimulate proliferation of breast cancer cells.</t>
  </si>
  <si>
    <t>[Wang, Wei; Kong, Peng; Ma, Ge; Li, Li; Zhu, Jin; Xia, Tiansong; Xie, Hui; Zhou, Wenbin; Wang, Shui] Nanjing Med Univ, Affiliated Hosp 1, Dept Breast Surg, Nanjing 210029, Jiangsu, Peoples R China</t>
  </si>
  <si>
    <t>Nanjing Medical University</t>
  </si>
  <si>
    <t>Zhou, WB; Wang, S (corresponding author), Nanjing Med Univ, Affiliated Hosp 1, Dept Breast Surg, Nanjing 210029, Jiangsu, Peoples R China.</t>
  </si>
  <si>
    <t>zhouwenbin_1984@foxmail.com; ws0801@hotmail.com</t>
  </si>
  <si>
    <t>Ma, Ge/AAK-9903-2020</t>
  </si>
  <si>
    <t>10.18632/oncotarget.17858</t>
  </si>
  <si>
    <t>WOS:000405493400116</t>
  </si>
  <si>
    <t>Tu, M; Wei, F; Yang, JP; Wong, D</t>
  </si>
  <si>
    <t>Tu, Michael; Wei, Fang; Yang, Jieping; Wong, David</t>
  </si>
  <si>
    <t>Detection of Exosomal Biomarker by Electric Field-induced Release and Measurement (EFIRM)</t>
  </si>
  <si>
    <t>Bioengineering; Issue 95; Exosome; Electrochemical sensors; Tumor biomarkers; Lung cancer; Salivary diagnostics</t>
  </si>
  <si>
    <t>CANCER; SALIVA</t>
  </si>
  <si>
    <t>Exosomes are microvesicular structures that play a mediating role in intercellular communication. It is of interest to study the internal cargo of exosomes to determine if they carry disease discriminatory biomarkers. For performing exosomal analysis, it is necessary to develop a method for extracting and analyzing exosomes from target biofluids without damaging the internal content. Electric field-induced release and measurement (EFIRM) is a method for specifically extracting exosomes from biofluids, unloading their cargo, and testing their internal RNA/protein content. Using an anti-human CD63 specific antibody magnetic microparticle, exosomes are first precipitated from biofluids. Following extraction, low-voltage electric cyclic square waves (CSW) are applied to disrupt the vesicular membrane and cause cargo unloading. The content of the exosome is hybridized to DNA primers or antibodies immobilized on an electrode surface for quantification of molecular content. The EFIRM method is advantageous for extraction of exosomes and unloading cargo for analysis without lysis buffer. This method is capable of performing specific detection of both RNA and protein biomarker targets in the exosome. EFIRM extracts exosomes specifically based on their surface markers as opposed to size-based techniques. Transmission electron microscopy (TEM) and assay demonstrate the functionality of the method for exosome capture and analysis. The EFIRM method was applied to exosomal analysis of 9 mice injected with human lung cancer H640 cells (a cell line transfected to express the exosome marker human CD63-GFP) in order to test their exosome profile against 11 mice receiving saline controls. Elevated levels of exosomal biomarkers (reference gene GAPDH and protein surface marker human CD63-GFP) were found for the H640 injected mice in both serum and saliva samples. Furthermore, saliva and serum samples were demonstrated to have linearity (R = 0.79). These results are suggestive for the viability of salivary exosome biomarkers for detection of distal diseases.</t>
  </si>
  <si>
    <t>[Tu, Michael; Wei, Fang; Wong, David] Univ Calif Los Angeles, Sch Dent, Los Angeles, CA 90024 USA; [Yang, Jieping] Univ Calif Los Angeles, Sch Med, Clin Nutr, Los Angeles, CA USA</t>
  </si>
  <si>
    <t>University of California System; University of California Los Angeles; University of California System; University of California Los Angeles; University of California Los Angeles Medical Center; David Geffen School of Medicine at UCLA</t>
  </si>
  <si>
    <t>Wong, D (corresponding author), Univ Calif Los Angeles, Sch Dent, Los Angeles, CA 90024 USA.</t>
  </si>
  <si>
    <t>dtww@ucla.edu</t>
  </si>
  <si>
    <t>Tu, Michael/0000-0002-7227-4030</t>
  </si>
  <si>
    <t>e52439</t>
  </si>
  <si>
    <t>10.3791/52439</t>
  </si>
  <si>
    <t>WOS:000361532900067</t>
  </si>
  <si>
    <t>Allenson, K; Castillo, J; San Lucas, FAS; Scelo, G; Kim, DU; Bernard, V; Davis, G; Kumar, T; Katz, M; Overman, MJ; Foretova, L; Fabianova, E; Holcatova, I; Janout, V; Meric-Bernstam, F; Gascoyne, P; Wistuba, I; Varadhachary, G; Brennan, P; Hanash, S; Li, D; Maitra, A; Alvarez, H</t>
  </si>
  <si>
    <t>Allenson, K.; Castillo, J.; San Lucas, F. A.; Scelo, G.; Kim, D. U.; Bernard, V.; Davis, G.; Kumar, T.; Katz, M.; Overman, M. J.; Foretova, L.; Fabianova, E.; Holcatova, I.; Janout, V.; Meric-Bernstam, F.; Gascoyne, P.; Wistuba, I.; Varadhachary, G.; Brennan, P.; Hanash, S.; Li, D.; Maitra, A.; Alvarez, H.</t>
  </si>
  <si>
    <t>High prevalence of mutant KRAS in circulating exosome-derived DNA from early-stage pancreatic cancer patients</t>
  </si>
  <si>
    <t>exosome; liquid biopsy; KRAS; pancreatic cancer; circulating tumor DNA</t>
  </si>
  <si>
    <t>K-RAS MUTATIONS; COLORECTAL-CANCER; ADENOCARCINOMA; PLASMA; MICROVESICLES; UTILITY; GROWTH; CELLS</t>
  </si>
  <si>
    <t>Background: Exosomes arise from viable cancer cells and may reflect a different biology than circulating cell-free DNA (cfDNA) shed from dying tissues. We compare exosome-derived DNA (exoDNA) to cfDNA in liquid biopsies of patients with pancreatic ductal adenocarcinoma (PDAC). Patients and methods: Patient samples were obtained between 2003 and 2010, with clinically annotated follow up to 2015. Droplet digital PCR was performed on exoDNA and cfDNA for sensitive detection of KRAS mutants at codons 12/13. A cumulative series of 263 individuals were studied, including a discovery cohort of 142 individuals: 68 PDAC patients of all stages; 20 PDAC patients initially staged with localized disease, with blood drawn after resection for curative intent; and 54 age-matched healthy controls. A validation cohort of 121 individuals (39 cancer patients and 82 healthy controls) was studied to validate KRAS detection rates in early-stage PDAC patients. Primary outcome was circulating KRAS status as detected by droplet digital PCR. Secondary outcomes were disease-free and overall survival. Results: KRAS mutations in exoDNA, were identified in 7.4%, 66.7%, 80%, and 85% of age-matched controls, localized, locally advanced, and metastatic PDAC patients, respectively. Comparatively, mutant KRAS cfDNA was detected in 14.8%, 45.5%, 30.8%, and 57.9% of these individuals. Higher exoKRAS MAFs were associated with decreased disease-free survival in patients with localized disease. In the validation cohort, mutant KRAS exoDNA was detected in 43.6% of early-stage PDAC patients and 20% of healthy controls. Conclusions: Exosomes are a distinct source of tumor DNA that may be complementary to other liquid biopsy DNA sources. A higher percentage of patients with localized PDAC exhibited detectable KRAS mutations in exoDNA than previously reported for cfDNA. A substantial minority of healthy samples demonstrated mutant KRAS in circulation, dictating careful consideration and application of liquid biopsy findings, which may limit its utility as a broad cancer-screening method.</t>
  </si>
  <si>
    <t>[Allenson, K.; Katz, M.] Univ Texas MD Anderson Canc Ctr, Dept Surg Oncol, Houston, TX 77030 USA; [Allenson, K.; Castillo, J.; Kim, D. U.; Bernard, V.; Davis, G.; Kumar, T.; Maitra, A.; Alvarez, H.] Univ Texas MD Anderson Canc Ctr, Dept Pathol, Houston, TX 77030 USA; [San Lucas, F. A.; Wistuba, I.] Univ Texas MD Anderson Canc Ctr, Dept Translat Mol Pathol, Houston, TX 77030 USA; [San Lucas, F. A.; Maitra, A.; Alvarez, H.] Univ Texas MD Anderson Canc Ctr, Sheikh Ahmed Pancreat Canc Res Ctr, Houston, TX 77030 USA; [Scelo, G.; Brennan, P.] Int Agcy Res Canc, Genet Epidemiol Grp, Lyon, France; [Overman, M. J.; Varadhachary, G.; Li, D.] Univ Texas MD Anderson Canc Ctr, Dept GI Med Oncol, Houston, TX 77030 USA; [Foretova, L.] Masaryk Mem Canc Inst, Dept Canc Epidemiol &amp; Genet, Brno, Czech Republic; [Holcatova, I.] Reg Author Publ Hlth Banska Bystrica, Banska Bystrica, Slovakia; [Holcatova, I.] Charles Univ Prague, Fac Med 2, Inst Publ Hlth &amp; Prevent Med, Prague, Czech Republic; [Janout, V.] Palacky Univ Med, Dept Prevent Med, Olomouc, Czech Republic; [Janout, V.] Univ Ostrava, Fac Med, Dept Epidemiol &amp; Publ Hlth, Ostrava, Czech Republic; [Meric-Bernstam, F.] Dept Invest Canc Therapeut, Houston, TX USA; [Meric-Bernstam, F.] Inst Personalized Canc Therapy, Houston, TX USA; [Brennan, P.] ContinuumDx, Houston, TX USA; [Hanash, S.] Univ Texas MD Anderson Canc Ctr, Dept Clin Canc Prevent, Houston, TX 77030 USA</t>
  </si>
  <si>
    <t>University of Texas System; UTMD Anderson Cancer Center; University of Texas System; UTMD Anderson Cancer Center; University of Texas System; UTMD Anderson Cancer Center; University of Texas System; UTMD Anderson Cancer Center; World Health Organization; International Agency for Research on Cancer (IARC); University of Texas System; UTMD Anderson Cancer Center; Masaryk Memorial Cancer Institute; Regional Authority of Public Health Banska Bystrica; Charles University Prague; Palacky University Olomouc; University of Ostrava; University of Texas System; UTMD Anderson Cancer Center</t>
  </si>
  <si>
    <t>Maitra, A (corresponding author), 6565 MD Anderson Blvd Z3 3038, Houston, TX 77030 USA.</t>
  </si>
  <si>
    <t>Kumar, Tejas/Q-9650-2018; Holcatova, Ivana/C-8327-2017; Scelo, Ghislaine/CAF-8077-2022</t>
  </si>
  <si>
    <t>Kumar, Tejas/0000-0003-3514-3960; Holcatova, Ivana/0000-0002-1366-0337; Foretova, Lenka/0000-0003-0494-2620; Bernard, Vincent/0000-0003-1555-608X</t>
  </si>
  <si>
    <t>10.1093/annonc/mdx004</t>
  </si>
  <si>
    <t>WOS:000397622100014</t>
  </si>
  <si>
    <t>Bhardwaj, BK; Thankachan, S; Venkatesh, T; Suresh, PS</t>
  </si>
  <si>
    <t>Bhardwaj, Boddapati Kalyani; Thankachan, Sanu; Venkatesh, Thejaswini; Suresh, Padmanaban S.</t>
  </si>
  <si>
    <t>Liquid biopsy in ovarian cancer</t>
  </si>
  <si>
    <t>Ovarian cancer; Circulating tumor cells; microRNAs; Exosomes; Cell-free DNA</t>
  </si>
  <si>
    <t>CIRCULATING TUMOR-CELLS; FREE DNA; MUTATION PROFILES; PERITONEAL-FLUID; NUCLEIC-ACIDS; PLASMA DNA; SERUM; BLOOD; METHYLATION; EXPRESSION</t>
  </si>
  <si>
    <t>Ovarian cancer is typically diagnosed at an advanced stage and poses a significant challenge to treatment and recovery. Relapsed ovarian cancer and chemoresistance of ovarian tumor cells are other clinical challenges. Liquid biopsy is an essential non-invasive diagnostic test that evaluates circulating tumor cells and tumor DNA, as well as other blood markers that may be useful in guiding precision medicine. Although liquid biopsy is not a routinely used diagnostic test, the potential applications in the diagnosis and prognosis in ovarian cancer are rapidly growing. This review explores recent studies examining the clinical potential of circulating tumor cells, cell-free microRNA, exosomes, tumor DNA, and other analytes as a source of liquid biopsy biomarkers in ovarian cancer diagnosis, prognosis and response to treatment.</t>
  </si>
  <si>
    <t>[Bhardwaj, Boddapati Kalyani; Thankachan, Sanu; Suresh, Padmanaban S.] Natl Inst Technol, Sch Biotechnol, Calicut 673601, Kerala, India; [Venkatesh, Thejaswini] Cent Univ Kerala, Dept Biochem &amp; Mol Biol, Kasargod 671316, Kerala, India</t>
  </si>
  <si>
    <t>National Institute of Technology (NIT System); National Institute of Technology Calicut; National Institute of Technology Puducherry; Central University of Kerala</t>
  </si>
  <si>
    <t>Suresh, PS (corresponding author), Natl Inst Technol, Sch Biotechnol, Calicut 673601, Kerala, India.</t>
  </si>
  <si>
    <t>surepadman@gmail.com</t>
  </si>
  <si>
    <t>Venkatesh, Thejaswini/ABC-4002-2021</t>
  </si>
  <si>
    <t>Venkatesh, Thejaswini/0000-0002-5831-9255; Thankachan, Sanu/0000-0002-7160-8799</t>
  </si>
  <si>
    <t>10.1016/j.cca.2020.06.047</t>
  </si>
  <si>
    <t>WOS:000582504300008</t>
  </si>
  <si>
    <t>Kim, S; Han, J; Park, JS; Kim, JH; Lee, ES; Cha, BS; Park, KS</t>
  </si>
  <si>
    <t>Kim, Seokjoon; Han, Jinjoo; Park, Jung Soo; Kim, Jung Ho; Lee, Eun Sung; Cha, Byung Seok; Park, Ki Soo</t>
  </si>
  <si>
    <t>DNA barcode-based detection of exosomal microRNAs using nucleic acid lateral flow assays for the diagnosis of colorectal cancer</t>
  </si>
  <si>
    <t>Colorectal cancer; Exosome; DNA barcode; Nucleic acid lateral flow assay; microRNA</t>
  </si>
  <si>
    <t>Colorectal cancer (CRC) is the third most common cancer and the second leading cause of cancer-related deaths worldwide. The standard methods for diagnosing CRC, endoscopy and tissue biopsy, are invasive and timeconsuming. Herein, we propose a novel method for the accurate and non-invasive diagnosis of CRC based on the analysis of exosomes that are circulating in biological fluids using a DNA barcode-based nucleic acid lateral flow assay (NALFA). Our technology combines reverse transcription using a stem-loop primer with DNA barcodebased NALFA. A colorimetric signal is generated only in the presence of the target exosomal miRNA, which can be determined even with the naked eye. The proposed system successfully detected miR-92a and miR-141, which are overexpressed in CRC exosomes. Moreover, when applied to plasma samples from CRC patients, our system simultaneously detected multiple markers in one strip. By combining these markers, we achieved high analytical performance with a sensitivity and a specificity of 95.24% and 100.0%, respectively, demonstrating that the proposed assay can be a simple diagnostic platform for the detection of exosomal miRNA.</t>
  </si>
  <si>
    <t>[Kim, Seokjoon; Han, Jinjoo; Park, Jung Soo; Kim, Jung Ho; Lee, Eun Sung; Cha, Byung Seok; Park, Ki Soo] Konkuk Univ, Dept Biol Engn, Coll Engn, Seoul 05029, South Korea</t>
  </si>
  <si>
    <t>Park, KS (corresponding author), Konkuk Univ, Dept Biol Engn, Coll Engn, Seoul 05029, South Korea.</t>
  </si>
  <si>
    <t>10.1016/j.talanta.2022.123306</t>
  </si>
  <si>
    <t>WOS:000759331100007</t>
  </si>
  <si>
    <t>Stegmaier, S; Sparber-Sauer, M; Aakcha-Rudel, E; Munch, P; Reeh, T; Feuchtgruber, S; Hallmen, E; Blattmann, C; Bielack, S; Klingebiel, T; Koscielniak, E</t>
  </si>
  <si>
    <t>Stegmaier, Sabine; Sparber-Sauer, Monika; Aakcha-Rudel, Esther; Muench, Petra; Reeh, Theresa; Feuchtgruber, Simone; Hallmen, Erika; Blattmann, Claudia; Bielack, Stefan; Klingebiel, Thomas; Koscielniak, Ewa</t>
  </si>
  <si>
    <t>Fusion transcripts as liquid biopsy markers in alveolar rhabdomyosarcoma and synovial sarcoma: A report of the Cooperative Weichteilsarkom Studiengruppe (CWS)</t>
  </si>
  <si>
    <t>PEDIATRIC BLOOD &amp; CANCER</t>
  </si>
  <si>
    <t>Blood plasma; CWS; exosomes; liquid biopsy</t>
  </si>
  <si>
    <t>CELL-FREE DNA; MICROSATELLITE ALTERATIONS; BONE-MARROW; PLASMA</t>
  </si>
  <si>
    <t>Background The possible application of gene fusion transcripts as tumor-specific noninvasive liquid biopsy biomarkers was investigated in blood plasma from patients with alveolar rhabdomyosarcoma (ARMS) and synovial sarcoma (SS). Methods Patients entered in the CWS Soft-Tissue Sarcoma Registry (SoTiSaR) with tumors positive for fusion genes and available blood/plasma samples were included in our analysis. Cell-free exosomal RNA was extracted and used to detect PAX-FOXO1 or SYT-SSX fusion transcripts by reverse transcription quantitative PCR (RT-qPCR). Results The analysis included 112 ethylene diamine tetraacetic acid blood samples from 80 patients (65 with ARMS, 15 with SS; 34 with localized, 46 with metastatic disease). For patients with metastatic ARMS, 62% (n = 18) of initial liquid biopsies were positive, and 16 (89%) of them showed initial bone marrow (BM) metastases. For all patients with primary localized ARMS, liquid biopsy was negative at diagnosis. Of the 48 plasma samples collected during therapy and follow-up, five were positive. None of the liquid biopsies from patients with SS were positive. Conclusions This liquid biopsy assay based on the detection of fusion transcripts in cell-free RNA from blood exosomes is suitable for analysis of patients with ARMS. Results showed good correlation with the initial tumor status; liquid biopsy was positive in 94% of patients with metastatic ARMS and initial BM involvement, whereas biopsies from all patients with localized tumors were negative. Prospective validation and optimization of the assay, as well as its application for other markers in diagnostics and monitoring of soft-tissue sarcoma, are ongoing.</t>
  </si>
  <si>
    <t>[Stegmaier, Sabine; Sparber-Sauer, Monika; Aakcha-Rudel, Esther; Muench, Petra; Reeh, Theresa; Feuchtgruber, Simone; Hallmen, Erika; Blattmann, Claudia; Bielack, Stefan; Koscielniak, Ewa] Klinikum Stuttgart, Pediat Oncol Hematol Immunol 5, Olgahosp, Zentrum Kinder Jugend &amp; Frauenmed, Kriegsbergstr 62, D-70174 Stuttgart, Germany; [Sparber-Sauer, Monika; Koscielniak, Ewa] Univ Tubingen, Tubingen, Germany; [Bielack, Stefan] Univ Munster, Dept Pediat Hematol &amp; Oncol, Munster, Germany; [Klingebiel, Thomas] Univ Hosp Frankfurt, Dept Children &amp; Adolescents, Frankfurt, Germany</t>
  </si>
  <si>
    <t>General Hospital of N. Ionia Agia Olga; Klinikum Stuttgart; Eberhard Karls University of Tubingen; University of Munster; Goethe University Frankfurt; Goethe University Frankfurt Hospital</t>
  </si>
  <si>
    <t>Stegmaier, S (corresponding author), Klinikum Stuttgart, Pediat Oncol Hematol Immunol 5, Olgahosp, Zentrum Kinder Jugend &amp; Frauenmed, Kriegsbergstr 62, D-70174 Stuttgart, Germany.</t>
  </si>
  <si>
    <t>stegmaier@klinikum-stuttgart.de</t>
  </si>
  <si>
    <t>Bielack, Stefan/0000-0003-2144-3153</t>
  </si>
  <si>
    <t>1545-5009</t>
  </si>
  <si>
    <t>1545-5017</t>
  </si>
  <si>
    <t>e29652</t>
  </si>
  <si>
    <t>10.1002/pbc.29652</t>
  </si>
  <si>
    <t>Oncology; Hematology; Pediatrics</t>
  </si>
  <si>
    <t>WOS:000773290100001</t>
  </si>
  <si>
    <t>Zhang, ZR; Yin, JX; Lu, CF; Wei, YT; Zeng, AL; You, YP</t>
  </si>
  <si>
    <t>Zhang, Zhuoran; Yin, Jianxing; Lu, Chenfei; Wei, Yutian; Zeng, Ailiang; You, Yongping</t>
  </si>
  <si>
    <t>Exosomal transfer of long non-coding RNA SBF2-AS1 enhances chemoresistance to temozolomide in glioblastoma</t>
  </si>
  <si>
    <t>Exosomes; LncRNA-SBF2-AS1; Temozolomide-resistance; Glioblastoma</t>
  </si>
  <si>
    <t>STRAND BREAK REPAIR; PROMOTES PROLIFERATION; SIGNALING PATHWAY; CANCER EXOSOMES; SERUM EXOSOMES; EXPRESSION; ANGIOGENESIS; IDENTIFICATION; RESISTANCE; SURVIVAL</t>
  </si>
  <si>
    <t>BackgroundAcquired drug resistance is a constraining factor in clinical treatment of glioblastoma (GBM). However, the mechanisms of chemoresponsive tumors acquire therapeutic resistance remain poorly understood. Here, we aim to investigate whether temozolomide (TMZ) resistance of chemoresponsive GBM was enhanced by long non-coding RNA SBF2 antisense RNA 1 (lncRNA SBF2-AS1) enriched exosomes.MethodLncSBF2-AS1 level in TMZ-resistance or TMZ-sensitive GBM tissues and cells were analyzed by qRT-PCR and FISH assays. A series of in vitro assay and xenograft tumor models were performed to observe the effect of lncSBF2-AS1 on TMZ-resistance in GBM. CHIP assay were used to investigate the correlation of SBF2-AS1 and transcription factor zinc finger E-box binding homeobox1 (ZEB1). Dual-luciferase reporter, RNA immunoprecipitation (RIP), immunofluorescence and western blotting were performed to verify the relation between lncSBF2-AS1, miR-151a-3p and XRCC4. Comet assay and immunoblotting were performed to expound the effect of lncSBF2-AS1 on DNA double-stand break (DSB) repair. A series of in vitro assay and intracranial xenografts tumor model were used to determined the function of exosomal lncSBF2-AS1.ResultIt was found that SBF2-AS1 was upregulated in TMZ-resistant GBM cells and tissues, and overexpression of SBF2-AS1 led to the promotion of TMZ resistance, whereas its inhibition sensitized resistant GBM cells to TMZ. Transcription factor ZEB1 was found to directly bind to the SBF2-AS1 promoter region to regulate SBF2-AS1 level and affected TMZ resistance in GBM cells. SBF2-AS1 functions as a ceRNA for miR-151a-3p, leading to the disinhibition of its endogenous target, X-ray repair cross complementing 4 (XRCC4), which enhances DSB repair in GBM cells. Exosomes selected from temozolomide-resistant GBM cells had high levels of SBF2-AS1 and spread TMZ resistance to chemoresponsive GBM cells. Clinically, high levels of lncSBF2-AS1 in serum exosomes were associated with poor response to TMZ treatment in GBM patients.ConclusionWe can conclude that GBM cells remodel the tumor microenvironment to promote tumor chemotherapy-resistance by secreting the oncogenic lncSBF2-AS1-enriched exosomes. Thus, exosomal lncSBF2-AS1 in human serum may serve as a possible diagnostic marker for therapy-refractory GBM.</t>
  </si>
  <si>
    <t>[Zhang, Zhuoran; Yin, Jianxing; Lu, Chenfei; Wei, Yutian; Zeng, Ailiang; You, Yongping] Nanjing Med Univ, Affiliated Hosp 1, Dept Neurosurg, Nanjing 210029, Jiangsu, Peoples R China; [You, Yongping] Nanjing Med Univ, Jiangsu Key Lab Canc Biomarkers Prevent &amp; Treatme, Jiangsu Collaborat Innovat Ctr Canc Personalized, Nanjing 211166, Jiangsu, Peoples R China</t>
  </si>
  <si>
    <t>Nanjing Medical University; Nanjing Medical University</t>
  </si>
  <si>
    <t>You, YP (corresponding author), Nanjing Med Univ, Affiliated Hosp 1, Dept Neurosurg, Nanjing 210029, Jiangsu, Peoples R China.;You, YP (corresponding author), Nanjing Med Univ, Jiangsu Key Lab Canc Biomarkers Prevent &amp; Treatme, Jiangsu Collaborat Innovat Ctr Canc Personalized, Nanjing 211166, Jiangsu, Peoples R China.</t>
  </si>
  <si>
    <t>yypl9@njmu.edu.cn</t>
  </si>
  <si>
    <t>zeng, ailiang/AAF-4498-2020</t>
  </si>
  <si>
    <t>Zeng, Ailiang/0000-0003-2869-9899</t>
  </si>
  <si>
    <t>10.1186/s13046-019-1139-6</t>
  </si>
  <si>
    <t>WOS:000464893900001</t>
  </si>
  <si>
    <t>Kellner-Weibel, G; Geng, YJ; Rothblat, GH</t>
  </si>
  <si>
    <t>Cytotoxic cholesterol is generated by the hydrolysis of cytoplasmic cholesteryl ester and transported to the plasma membrane</t>
  </si>
  <si>
    <t>ATHEROSCLEROSIS</t>
  </si>
  <si>
    <t>cytotoxic cholesterol; hydrolysis; cytoplasmic cholesteryl ester; plasma membrane; foam cell</t>
  </si>
  <si>
    <t>LOW-DENSITY LIPOPROTEIN; ACYL-COENZYME-A; ATHEROSCLEROTIC LESIONS; ENDOPLASMIC-RETICULUM; OXYGENATED STEROLS; CELL CHOLESTEROL; BINDING-SITE; DEGRADATION; MACROPHAGES; ACCUMULATION</t>
  </si>
  <si>
    <t>The present study examines the fate and effects of free cholesterol (FC) generated by the hydrolysis of cytoplasmic cholesteryl esters (CE) in model macrophage foam cells. J774 or elicited mouse peritoneal macrophages (MPM) were enriched with CE by incubating with acetylated low density lipoprotein (acLDL) and FC/phospholipid dispersions, thus creating model foam cells. Treatment of the foam cells with the acyl coenzyme-A:cholesterol acyltransferase (ACAT) inhibitor, CP-113,818, in the absence of any extracellular cholesterol accepters, resulted in cellular toxicity. This was accompanied by an increase in the amount of FC available for oxidation by an exogenous cholesterol oxidase. Furthermore, cellular toxicity was proportional to the size of the oxidase susceptible pool of FC over time. Morphological analysis and in situ DNA fragmentation assay demonstrated the occurrence of apoptosis in the ACAT inhibited cells. Go-treatment with the hydrophobic amine U18666A, an intracellular cholesterol transport inhibitor, led to a dose dependent reduction in cytotoxicity and apoptosis, and blocked the movement of FC into the oxidase susceptible pool. In addition, treating model foam cells with CP-113,818 plus chloroquine, a compound that inhibits the function of acidic vesicles, also diminished cellular toxicity. Staining with the cholesterol binding dye filipin revealed that the macrophages treated with CP-113,818 contained a cholesterol oxidase accessible pool of FC in the plasma membrane. These results suggest that FC generated by the hydrolysis of cytoplasmic CE is transported through acidic vesicles to the plasma membrane, and accumulation of FC in this pool triggers cell death by necrosis and apoptosis. (C) 1999 Elsevier Science II eland Ltd. All rights reserved.</t>
  </si>
  <si>
    <t>Med Coll Penn &amp; Hahnemann Univ, Dept Biochem, Philadelphia, PA 19129 USA; Allegheny Gen Hosp, Cardiovasc &amp; Pulm Res Inst, Pittsburgh, PA 15212 USA</t>
  </si>
  <si>
    <t>Drexel University; Allegheny General Hospital</t>
  </si>
  <si>
    <t>Rothblat, GH (corresponding author), Med Coll Penn &amp; Hahnemann Univ, Dept Biochem, 2900 Queen Lane, Philadelphia, PA 19129 USA.</t>
  </si>
  <si>
    <t>0021-9150</t>
  </si>
  <si>
    <t>10.1016/S0021-9150(99)00155-0</t>
  </si>
  <si>
    <t>Cardiac &amp; Cardiovascular Systems; Peripheral Vascular Disease</t>
  </si>
  <si>
    <t>WOS:000082830100012</t>
  </si>
  <si>
    <t>Kopreski, MS; Gocke, CD</t>
  </si>
  <si>
    <t>Anker, P; Stroun, M</t>
  </si>
  <si>
    <t>Cellular- versus extracellular-based assays - Comparing utility in DNA and RNA molecular marker assessment</t>
  </si>
  <si>
    <t>CIRCULATING NUCLEIC ACIDS IN PLASMA OR SERUM</t>
  </si>
  <si>
    <t>ANNALS OF THE NEW YORK ACADEMY OF SCIENCES</t>
  </si>
  <si>
    <t>1st International Symposium on Circulating Nucleic Acids in Plasma/Serum</t>
  </si>
  <si>
    <t>AUG 18-20, 1999</t>
  </si>
  <si>
    <t>MENTHON ST BERNARD, FRANCE</t>
  </si>
  <si>
    <t>POLYMERASE CHAIN-REACTION; PERIPHERAL-BLOOD; MELANOMA PATIENTS; MESSENGER-RNA; REVERSE-TRANSCRIPTASE; SENSITIVE DETECTION; MEMBRANE-VESICLES; BONE-MARROW; TUMOR-CELLS; RT-PCR</t>
  </si>
  <si>
    <t>Pharmacia &amp; Upjohn Inc, Kalamazoo, MI 49001 USA; Penn State Geisinger, Milton S Hershey Med Ctr, Hershey, PA USA</t>
  </si>
  <si>
    <t>Pfizer; Pennsylvania Commonwealth System of Higher Education (PCSHE); Pennsylvania State University; Penn State Health</t>
  </si>
  <si>
    <t>Kopreski, MS (corresponding author), Pharmacia &amp; Upjohn Inc, 1015-298-163,7000 Portage Rd, Kalamazoo, MI 49001 USA.</t>
  </si>
  <si>
    <t>1-57331-269-X</t>
  </si>
  <si>
    <t>Oncology; Medical Laboratory Technology; Multidisciplinary Sciences</t>
  </si>
  <si>
    <t>Oncology; Medical Laboratory Technology; Science &amp; Technology - Other Topics</t>
  </si>
  <si>
    <t>WOS:000087759700023</t>
  </si>
  <si>
    <t>Lee, T; Rawding, PA; Bu, J; Hyun, S; Rou, W; Jeon, H; Kim, S; Lee, B; Kubiatowicz, LJ; Kim, D; Hong, S; Eun, H</t>
  </si>
  <si>
    <t>Lee, Taehee; Rawding, Piper A.; Bu, Jiyoon; Hyun, Sunghee; Rou, Woosun; Jeon, Hongjae; Kim, Seokhyun; Lee, Byungseok; Kubiatowicz, Luke J.; Kim, Dawon; Hong, Seungpyo; Eun, Hyuksoo</t>
  </si>
  <si>
    <t>Machine-Learning-Based Clinical Biomarker Using Cell-Free DNA for Hepatocellular Carcinoma (HCC)</t>
  </si>
  <si>
    <t>cell-free DNA (cfDNA); circulating tumor DNA (ctDNA); hepatocellular carcinoma (HCC); liquid biopsy; principal component analysis (PCA)</t>
  </si>
  <si>
    <t>CIRCULATING TUMOR-CELLS; LIQUID BIOPSY; VALIDATION; DIAGNOSIS; EXOSOMES; CANCER</t>
  </si>
  <si>
    <t>Simple Summary Circulating cell-free DNA (cfDNA) has attracted a great deal of scientific interest as a predictive biomarker for the diagnosis and prognosis of hepatocellular carcinoma (HCC). HCC result in high mortality due to the absence of blood biomarkers for early diagnosis and prognosis. We established cfD(HCC) as a new scoring system by applying a machine learning algorithm that integrates the expression profiles of cfDNA. Based on this, it was possible to accurately predict the clinico-pathological characteristics of patients with HCC as well as improve their survival. (1) Background: Hepatocellular carcinoma (HCC) is one of the leading causes of cancer-related death worldwide. Although various serum enzymes have been utilized for the diagnosis and prognosis of HCC, the currently available biomarkers lack the sensitivity needed to detect HCC at early stages and accurately predict treatment responses. (2) Methods: We utilized our highly sensitive cell-free DNA (cfDNA) detection system, in combination with a machine learning algorithm, to provide a platform for improved diagnosis and prognosis of HCC. (3) Results: cfDNA, specifically alpha-fetoprotein (AFP) expression in captured cfDNA, demonstrated the highest accuracy for diagnosing malignancies among the serum/plasma biomarkers used in this study, including AFP, aspartate aminotransferase, alanine aminotransferase, albumin, alkaline phosphatase, and bilirubin. The diagnostic/prognostic capability of cfDNA was further improved by establishing a cfDNA score (cfD(HCC)), which integrated the total plasma cfDNA levels and cfAFP-DNA expression into a single score using machine learning algorithms. (4) Conclusion: The cfD(HCC) score demonstrated significantly improved accuracy in determining the pathological features of HCC and predicting patients' survival outcomes compared to the other biomarkers. The results presented herein reveal that our cfDNA capture/analysis platform is a promising approach to effectively utilize cfDNA as a biomarker for the diagnosis and prognosis of HCC.</t>
  </si>
  <si>
    <t>[Lee, Taehee] Daegu Hlth Coll, Dept Biomed Lab Sci, Daegu 41453, South Korea; [Lee, Taehee; Hyun, Sunghee] Eulji Univ, Grad Sch, Dept Senior Healthcare, Uijeongbu Si 11759, South Korea; [Rawding, Piper A.; Bu, Jiyoon; Kubiatowicz, Luke J.; Kim, Dawon; Hong, Seungpyo] Univ Wisconsin, Sch Pharm, Pharmaceut Sci Div, Madison, WI 53705 USA; [Rawding, Piper A.; Bu, Jiyoon; Kim, Dawon; Hong, Seungpyo] Univ Wisconsin, Wisconsin Ctr NanoBioSyst WisCNano, Madison, WI 53705 USA; [Bu, Jiyoon] Inha Univ, Dept Biol Sci &amp; Bioengn, Incheon 22212, South Korea; [Bu, Jiyoon] Inha Univ, Ind Acad Interact R&amp;E Ctr Bioproc Innovat, Incheon 22212, South Korea; [Rou, Woosun; Jeon, Hongjae] Chungnam Natl Univ Sejong Hosp CNUSH, Dept Internal Med, Sejong 30099, South Korea; [Kim, Seokhyun; Lee, Byungseok; Eun, Hyuksoo] Chungnam Natl Univ Hosp, Dept Internal Med, Daejeon 35015, South Korea; [Hong, Seungpyo] Yonsei Univ, Dept Pharm, Yonsei Frontier Lab, Seoul 03722, South Korea; [Eun, Hyuksoo] Chungnam Natl Univ, Coll Med, Dept Internal Med, Daejeon 35015, South Korea</t>
  </si>
  <si>
    <t>Eulji University; University of Wisconsin System; University of Wisconsin Madison; University of Wisconsin System; University of Wisconsin Madison; Inha University; Inha University; Chungnam National University; Chungnam National University Hospital; Yonsei University; Chungnam National University</t>
  </si>
  <si>
    <t>Hong, S (corresponding author), Univ Wisconsin, Sch Pharm, Pharmaceut Sci Div, Madison, WI 53705 USA.;Hong, S (corresponding author), Univ Wisconsin, Wisconsin Ctr NanoBioSyst WisCNano, Madison, WI 53705 USA.;Eun, H (corresponding author), Chungnam Natl Univ Hosp, Dept Internal Med, Daejeon 35015, South Korea.;Hong, S (corresponding author), Yonsei Univ, Dept Pharm, Yonsei Frontier Lab, Seoul 03722, South Korea.;Eun, H (corresponding author), Chungnam Natl Univ, Coll Med, Dept Internal Med, Daejeon 35015, South Korea.</t>
  </si>
  <si>
    <t>taehee1155@gmail.com; rawding@wisc.edu; jbu@inha.ac.kr; hyunsh@eulji.ac.kr; rws00@cnuh.co.kr; kyniker@naver.com; midoctor@cnu.ac.kr; gie001@cnuh.co.kr; kubiatowicz@wisc.edu; dkim634@wisc.edu; seungpyo.hong@wisc.edu; hyuksoo@cnuh.co.kr</t>
  </si>
  <si>
    <t>EUN, HYUK SOO/0000-0003-0485-0072; lee, taehee/0000-0002-1975-2961; Hong, Seungpyo/0000-0001-9870-031X; Kubiatowicz, Luke/0000-0002-1847-0129; Hyun, Sung Hee/0000-0002-8980-1036</t>
  </si>
  <si>
    <t>10.3390/cancers14092061</t>
  </si>
  <si>
    <t>WOS:000794787700001</t>
  </si>
  <si>
    <t>Cimmino, I; Bravaccini, S; Cerchione, C</t>
  </si>
  <si>
    <t>Salvi, S; Casadio, V</t>
  </si>
  <si>
    <t>Cimmino, Ilaria; Bravaccini, Sara; Cerchione, Claudio</t>
  </si>
  <si>
    <t>Urinary Biomarkers in Tumors: An Overview</t>
  </si>
  <si>
    <t>URINARY BIOMARKERS: Methods and Protocols</t>
  </si>
  <si>
    <t>Urological cancers; Nonurological cancers; Biomarker; Exosome; miRNA; ucfDNA; Liquid biopsy; Urine</t>
  </si>
  <si>
    <t>PROSTATE-CANCER; EXTRACELLULAR VESICLES; SERUM PSA; DNA; GENES; PCA3; IDENTIFICATION; METHYLATION; MUTATIONS; DIAGNOSIS</t>
  </si>
  <si>
    <t>Recent reports suggest that urine is a useful noninvasive tool for the identification of urogenital tumors, including bladder, prostate, kidney, and other nonurological cancers. As a liquid biopsy, urine represents an important source for the improvement of new promising biomarkers, a suitable tool to identify indolent cancer and avoid overtreatment. Urine is enriched with DNAs, RNAs, proteins, circulating tumor cells, exosomes, and other small molecules which can be detected with several diagnostic methodologies. We provide an overview of the ongoing state of urinary biomarkers underlying both their potential utilities to improve cancer prognosis, diagnosis, and therapeutic strategy and their limitations.</t>
  </si>
  <si>
    <t>[Cimmino, Ilaria] Univ Naples Federico II, Dept Translat Med, Naples, Italy; [Bravaccini, Sara; Cerchione, Claudio] IRCCS, Ist Sci Romagnolo Studio Cura Tumori IRST, Biosci Lab, Meldola, Italy</t>
  </si>
  <si>
    <t>University of Naples Federico II; IRCCS Meldola (IRST)</t>
  </si>
  <si>
    <t>Cimmino, I (corresponding author), Univ Naples Federico II, Dept Translat Med, Naples, Italy.</t>
  </si>
  <si>
    <t>Bravaccini, Sara/ABC-8944-2020</t>
  </si>
  <si>
    <t>Bravaccini, Sara/0000-0002-0075-8538; Cerchione, Claudio/0000-0002-9104-5436</t>
  </si>
  <si>
    <t>978-1-0716-1354-2; 978-1-0716-1353-5</t>
  </si>
  <si>
    <t>10.1007/978-1-0716-1354-2_1</t>
  </si>
  <si>
    <t>10.1007/978-1-0716-1354-2</t>
  </si>
  <si>
    <t>Biochemical Research Methods; Biochemistry &amp; Molecular Biology; Medicine, Research &amp; Experimental</t>
  </si>
  <si>
    <t>WOS:000691011000002</t>
  </si>
  <si>
    <t>Haque, S; Vaiselbuh, SR</t>
  </si>
  <si>
    <t>Haque, Shabirul; Vaiselbuh, Sarah R.</t>
  </si>
  <si>
    <t>Silencing of Exosomal miR-181a Reverses Pediatric Acute Lymphocytic Leukemia Cell Proliferation</t>
  </si>
  <si>
    <t>exosomes; leukemia; miRNA silencing</t>
  </si>
  <si>
    <t>POOR-PROGNOSIS; GASTRIC-CANCER; MICRORNAS; PROGRESSION; BIOGENESIS; SIGNATURES; MIGRATION; INVASION</t>
  </si>
  <si>
    <t>Exosomes are cell-generated nano-vesicles found in most biological fluids. Major components of their cargo are lipids, proteins, RNA, DNA, and non-coding RNAs. The miRNAs carried within exosomes reveal real-time information regarding disease status in leukemia and other cancers, and therefore exosomes have been studied as novel biomarkers for cancer. We investigated the impact of exosomes on cell proliferation in pediatric acute lymphocytic leukemia (PALL) and its reversal by silencing of exo-miR-181a. We isolated exosomes from the serum of PALL patients (Exo-PALL) and conditioned medium of leukemic cell lines (Exo-CM). We found that Exo-PALL promotes cell proliferation in leukemic B cell lines by gene regulation. This exosome-induced cell proliferation is a precise event with the up-regulation of proliferative (PCNA, Ki-67) and pro-survival genes (MCL-1, and BCL2) and suppression of pro-apoptotic genes (BAD, BAX). Exo-PALL and Exo-CM both show over expression of miR-181a compared to healthy donor control exosomes (Exo-HD). Specific silencing of exosomal miR-181a using a miR-181a inhibitor confirms that miR-181a inhibitor treatment reverses Exo-PALL/Exo-CM-induced leukemic cell proliferation in vitro. Altogether, this study suggests that exosomal miR-181a inhibition can be a novel target for growth suppression in pediatric lymphatic leukemia.</t>
  </si>
  <si>
    <t>[Haque, Shabirul; Vaiselbuh, Sarah R.] Northwell Hlth, Feinstein Inst Med Res, 350 Commun Dr, Manhasset, NY 11030 USA; [Vaiselbuh, Sarah R.] Northwell Hlth, Staten Isl Univ Hosp, Dept Pediat, 475 Seaview Ave, Staten Isl, NY 10305 USA</t>
  </si>
  <si>
    <t>Northwell Health; Northwell Health</t>
  </si>
  <si>
    <t>Haque, S (corresponding author), Northwell Hlth, Feinstein Inst Med Res, 350 Commun Dr, Manhasset, NY 11030 USA.</t>
  </si>
  <si>
    <t>shaque@northwell.edu; svaiselbuh1@pride.hofstra.edu</t>
  </si>
  <si>
    <t>haque, shabirul/AAB-9136-2022</t>
  </si>
  <si>
    <t>haque, shabirul/0000-0002-6721-0630</t>
  </si>
  <si>
    <t>10.3390/ph13090241</t>
  </si>
  <si>
    <t>WOS:000581678400001</t>
  </si>
  <si>
    <t>Lim, J; Choi, M; Lee, H; Han, JY; Cho, Y</t>
  </si>
  <si>
    <t>Lim, Jiyun; Choi, Mihye; Lee, HyungJae; Han, Ji-Youn; Cho, Youngnam</t>
  </si>
  <si>
    <t>A Novel Multifunctional Nanowire Platform for Highly Efficient Isolation and Analysis of Circulating Tumor-Specific Markers</t>
  </si>
  <si>
    <t>FRONTIERS IN CHEMISTRY</t>
  </si>
  <si>
    <t>plasma; exosome; circulating tumor cells; lung cancer; nanowire</t>
  </si>
  <si>
    <t>EXOSOMES; RELEASE; CELLS; DNA</t>
  </si>
  <si>
    <t>Circulating tumor-specific markers are crucial to understand the molecular and cellular processes underlying cancer, and to develop therapeutic strategies for the treatment of the disease in clinical applications. Many approaches to isolate and analyze these markers have been reported. Here, we propose a straightforward method for highly efficient capture and release of exosomes and circulating tumor cells (CTCs) in a single platform with well-ordered three-dimensional (3D) architecture that is constructed using a simple electrochemical method. Conductive polypyrrole nanowires (Ppy NWs) are conjugated with monoclonal antibodies that specifically recognize marker proteins on the surface of exosomes or CTCs. In response to electrical- or glutathione (GSH)-mediated stimulation, the captured exosomes or cells can be finely controlled for retrieval from the NW platform. A surface having nano-topographic structures allows the specific recognition and capture of small-sized exosome-like vesicles (30-100 nm) by promoting topographical interactions, while physically blocking larger vesicles (i.e., microvesicles, 100-1,000 nm). In addition, vertically aligned features greatly improve cell capture efficiency after modification with desired high-binding affinity biomolecules. Notably, exosomes and CTCs can be sequentially isolated from cancer patients' blood samples using a single NW platform via modulating electrochemical and chemical cues, which clearly exhibits great potential for the diagnosis of various cancer types and for downstream analysis due to its facile, effective, and low-cost performance.</t>
  </si>
  <si>
    <t>[Lim, Jiyun; Choi, Mihye; Lee, HyungJae; Cho, Youngnam] Natl Canc Ctr, Biomarker Branch, Goyang, South Korea; [Lim, Jiyun; Cho, Youngnam] Grad Sch Canc Sci &amp; Policy, Dept Canc Biomed Sci, Goyang, South Korea; [Lee, HyungJae] Yonsei Univ, Dept Med Sci, Coll Med, Seoul, South Korea; [Han, Ji-Youn] Natl Canc Ctr, Ctr Lung Canc, Goyang, South Korea; [Cho, Youngnam] Genopsy Inc, Seoul, South Korea</t>
  </si>
  <si>
    <t>National Cancer Center - Korea (NCC); Yonsei University; Yonsei University Health System; National Cancer Center - Korea (NCC)</t>
  </si>
  <si>
    <t>Cho, Y (corresponding author), Natl Canc Ctr, Biomarker Branch, Goyang, South Korea.;Cho, Y (corresponding author), Grad Sch Canc Sci &amp; Policy, Dept Canc Biomed Sci, Goyang, South Korea.;Cho, Y (corresponding author), Genopsy Inc, Seoul, South Korea.</t>
  </si>
  <si>
    <t>yncho@ncc.re.kr</t>
  </si>
  <si>
    <t>2296-2646</t>
  </si>
  <si>
    <t>10.3389/fchem.2018.00664</t>
  </si>
  <si>
    <t>WOS:000455702400001</t>
  </si>
  <si>
    <t>Neo, SH; Chung, KY; Quek, JM; Too, HP</t>
  </si>
  <si>
    <t>Neo, Shu Hui; Chung, Ka Yan; Quek, Jia Min; Too, Heng-Phon</t>
  </si>
  <si>
    <t>Trehalose significantly enhances the recovery of serum and serum exosomal miRNA from a paper-based matrix</t>
  </si>
  <si>
    <t>RNA ISOLATION METHOD; LONG-TERM STORAGE; GASTRIC-CANCER; CIRCULATING MICRORNAS; PLASMA; STABILITY; CELLS; STATE; PROGNOSIS; VESICLES</t>
  </si>
  <si>
    <t>The preservation of nucleic acids from clinical samples is critical to facilitate accurate molecular diagnosis. The use of a paper matrix, Flinders Technology Associates (FTA) Elute cards, to archive DNA and viral RNA is well-documented. However, the feasibility of FTA Elute cards for archiving serum and serum exosomal microRNAs (miRNAs) remains unclear. Here, we performed a comprehensive evaluation of FTA Elute cards for miRNA storage and recovery in different pre-analytical conditions. The recovery of serum miRNA dry-spotted on FTA Elute cards by direct elution with water at high temperature was poor. However, serum miRNAs dry-spotted on the cards were isolated with about 40% yield when using QIAzol lysis reagent and recovery was improved remarkably (&gt;80%) upon extraction from cards pre-treated with trehalose. miRNAs stored on the cards remained stable at room temperature and can be kept for prolonged periods. Furthermore, miRNAs could be similarly recovered from serum exosomes dry-spotted on the cards. Importantly, when using sera from gastric cancer (GC) patients, the miRNAs were efficiently recovered from trehalose pre-treated cards without affecting their representation. Collectively, we have demonstrated the potential of FTA Elute cards to archive serum and serum exosomal miRNAs, making it useful for biomarker discovery and diagnostics.</t>
  </si>
  <si>
    <t>[Neo, Shu Hui; Chung, Ka Yan; Quek, Jia Min; Too, Heng-Phon] ASTAR, Bioproc Technol Inst, 20 Biopolis Way,06-01 Ctr, Singapore 138668, Singapore; [Too, Heng-Phon] Natl Univ Singapore, Yong Loo Lin Sch Med, Dept Biochem, Block MD7,8 Med Dr, Singapore 117597, Singapore</t>
  </si>
  <si>
    <t>Agency for Science Technology &amp; Research (ASTAR); Bioprocessing Technology Institute (BTI); National University of Singapore</t>
  </si>
  <si>
    <t>Neo, SH; Too, HP (corresponding author), ASTAR, Bioproc Technol Inst, 20 Biopolis Way,06-01 Ctr, Singapore 138668, Singapore.;Too, HP (corresponding author), Natl Univ Singapore, Yong Loo Lin Sch Med, Dept Biochem, Block MD7,8 Med Dr, Singapore 117597, Singapore.</t>
  </si>
  <si>
    <t>neo_shu_hui@bti.a-star.edu.sg; heng-phon_too@nuhs.edu.sg</t>
  </si>
  <si>
    <t>NOV 30</t>
  </si>
  <si>
    <t>10.1038/s41598-017-16960-8</t>
  </si>
  <si>
    <t>WOS:000416891400088</t>
  </si>
  <si>
    <t>Wei, F; Yang, JP; Wong, DTW</t>
  </si>
  <si>
    <t>Wei, Fang; Yang, Jieping; Wong, David T. W.</t>
  </si>
  <si>
    <t>Detection of exosomal biomarker by electric field-induced release and measurement (EFIRM)</t>
  </si>
  <si>
    <t>Exosome; Electrochemical sensors; Tumor biomarkers; Lung cancer; Salivary diagnostics</t>
  </si>
  <si>
    <t>TUMOR-DERIVED EXOSOMES; MICRORNA SIGNATURES; MULTIVESICULAR BODY; VESICLES; RNA; IDENTIFICATION; PROTEINS; DNA</t>
  </si>
  <si>
    <t>Exosomes biomarkers mediating important biological process, especially in the systemic disease diagnostics and therapeutics, yet the protective exosomal vesicle structure hinders rapid, simple detection of the harbored molecules. We have established a new method, the electric field-induced release and measurement (EFIRM), which can simultaneously disrupt exosomes to release the contents and on-site monitoring the harbored exosomal RNA/proteins biomarkers. When exposed to a non-uniform electrical field, exosomal RNA and proteins are rapidly released. Bio-recognition of these biomolecules is carried out concurrently. We tested the hypothesis that the lung cancer cell line, H460 stably transfected with hCD63-GFP, would shed hCD63-GFP expressing exosomes that could be detected in serum and saliva. We confirmed in vivo that H460-CD63-GFP shed exosomes were transported to blood and saliva. This result demonstrates for the first time tumor-shed exosomes were detected in saliva, in addition to blood, presenting a new translational utility of exosome-based biomarker detection in saliva. (C) 2013 Elsevier B.V. All rights reserved.</t>
  </si>
  <si>
    <t>[Wei, Fang; Yang, Jieping; Wong, David T. W.] Univ Calif Los Angeles, UCLA Sch Dent, UCLA Dent Res Inst, Ctr Hlth Sci 73 017, Los Angeles, CA 90095 USA</t>
  </si>
  <si>
    <t>University of California System; University of California Los Angeles</t>
  </si>
  <si>
    <t>Wong, DTW (corresponding author), Univ Calif Los Angeles, UCLA Sch Dent, UCLA Dent Res Inst, Ctr Hlth Sci 73 017, 10833 Le Conte Ave, Los Angeles, CA 90095 USA.</t>
  </si>
  <si>
    <t>frada@ucla.edu; jiepyang@ucla.edu; dtww@ucla.edu</t>
  </si>
  <si>
    <t>10.1016/j.bios.2012.12.046</t>
  </si>
  <si>
    <t>WOS:000317150700020</t>
  </si>
  <si>
    <t>Li, LY; Zuo, XX; Liu, D; Luo, H; Zhang, HL; Peng, QL; Wang, GC; Zhu, HL</t>
  </si>
  <si>
    <t>Li, Liya; Zuo, Xiaoxia; Liu, Di; Luo, Hui; Zhang, Huali; Peng, Qinglin; Wang, Guochun; Zhu, Honglin</t>
  </si>
  <si>
    <t>Plasma exosomal RNAs have potential as both clinical biomarkers and therapeutic targets of dermatomyositis</t>
  </si>
  <si>
    <t>RHEUMATOLOGY</t>
  </si>
  <si>
    <t>dermatomyositis; plasma exosome; mRNA; miRNA; lncRNA; sequencing; bioinformatics analysis; autophagy; biomarkers</t>
  </si>
  <si>
    <t>IDIOPATHIC INFLAMMATORY MYOPATHIES; PATHOGENESIS; CLASSIFICATION; INTERFERONS; CONTRIBUTE; AUTOPHAGY; CELLS; SERUM</t>
  </si>
  <si>
    <t>Objectives DM is characterized by skeletal muscle weakness and cutaneous manifestations. Plasma exosomes (EXOs) contain proteins, RNAs, DNA, and lipid cargoes and are transferred among cells. If thoroughly investigated, plasma EXO RNAs could potentially improve our understanding of DM pathogenesis. We aimed to identify potential new biomarkers and therapeutic targets for DM. Methods The RNA (mRNA, miRNA and lncRNA) profiles of plasma EXOs were evaluated by sequencing on the Illumina HiSeq 3000 platform. Differentially expressed (DE) RNAs and bioinformatic analyses were performed. Human skeletal muscle myoblasts cells (HSkMCs) were stimulated with plasma EXOs, rapamycin or IFN-beta. Real-time PCR and western blot analysis were used to detect related genes and proteins. Results A total of 689 DE mRNAs, 53 DE miRNAs and 452 DE lncRNAs were identified in DM plasma EXOs. Bioinformatic analysis inferred that plasma EXOs were secreted mainly by CD8+ T cells, regulatory T cells and natural killer cells. The DE miRNAs participated in the autophagy, TGF-beta and Wnt signalling pathways. Three DE miRNAs (hsa-miR-125a-3p, hsa-miR-1246 and hsa-miR-3614-5p) were correlated with serological indices, organ involvement and myositis-specific autoantibodies. The DE lncRNAs participated in autophagy, IFN-beta production and mTOR signalling. DM plasma EXOs can induce autophagy in HSkMCs by regulating three miRNAs (hsa-miR-125a-3p, hsa-miR-1246 and hsa-miR-3614-5p) and three lncRNAs (ENST00000584157.1, ENST00000523380.1 and ENST00000560054.1), which formed an autophagy network, playing a role in muscle damage. Conclusion Our study provides an overview of distinct RNA profiles in DM plasma EXOs, and verified some miRNAs as potential biomarkers and therapeutic targets. The findings provide important clues for more in-depth explorations of plasma EXOs in DM.</t>
  </si>
  <si>
    <t>[Li, Liya; Zuo, Xiaoxia; Liu, Di; Luo, Hui; Zhu, Honglin] Cent South Univ, Dept Rheumatol &amp; Immunol, Xiangya Hosp, Xiangya Rd 87, Changsha 410008, Hunan, Peoples R China; [Li, Liya] Cent South Univ, Xiangya Hosp 3, Dept Rheumatol &amp; Immunol, Changsha, Hunan, Peoples R China; [Zuo, Xiaoxia; Luo, Hui; Zhu, Honglin] Xiangya Hosp, Prov Clin Res Ctr Rheumat &amp; Immunol Dis, Changsha, Hunan, Peoples R China; [Zuo, Xiaoxia; Luo, Hui; Zhu, Honglin] Xiangya Hosp, Natl Clin Res Ctr Geriatr Disorders, Changsha, Hunan, Peoples R China; [Zhang, Huali] Cent South Univ, Xiangya Sch Med, Dept Pathophysiol, Changsha, Hunan, Peoples R China; [Peng, Qinglin; Wang, Guochun] China Japan Friendship Hosp, Dept Rheumatol, Beijing, Peoples R China</t>
  </si>
  <si>
    <t>Central South University; Central South University; Central South University; Central South University; Central South University; China-Japan Friendship Hospital</t>
  </si>
  <si>
    <t>Zhu, HL (corresponding author), Cent South Univ, Dept Rheumatol &amp; Immunol, Xiangya Hosp, Xiangya Rd 87, Changsha 410008, Hunan, Peoples R China.</t>
  </si>
  <si>
    <t>zhuhonglin1988@hotmail.com</t>
  </si>
  <si>
    <t>1462-0324</t>
  </si>
  <si>
    <t>1462-0332</t>
  </si>
  <si>
    <t>MAY 30</t>
  </si>
  <si>
    <t>10.1093/rheumatology/keab753</t>
  </si>
  <si>
    <t>WOS:000789281000001</t>
  </si>
  <si>
    <t>Wong, DTW</t>
  </si>
  <si>
    <t>Wong, David T. W.</t>
  </si>
  <si>
    <t>Salivary Extracellular Noncoding RNA: Emerging Biomarkers for Molecular Diagnostics</t>
  </si>
  <si>
    <t>CLINICAL THERAPEUTICS</t>
  </si>
  <si>
    <t>biomarkers; body fluid; cancer; diagnostics; noninvasiveness; saliva</t>
  </si>
  <si>
    <t>SQUAMOUS-CELL CARCINOMA; TRANSCRIPTOMIC ANALYSES; GEL-ELECTROPHORESIS; PROTEOMIC ANALYSIS; MICRORNA MARKERS; EXOSOMES; IDENTIFICATION; STABILIZATION; PREVALIDATION; INTERLEUKIN-8</t>
  </si>
  <si>
    <t>Saliva is a complex body fluid that comprises secretions from the major and minor salivary glands, nourished by body's vasculature. Although many circulatory molecules (DNA, RNA, and proteins) can also be present in saliva, saliva harbors unique molecular constituents that can be discriminatory for oral and systemic disease screening and detection. Many studies have reported that salivary constituents can discriminate oral diseases (oral cancer and Sjogren's syndrome) and also systemic diseases (lung cancer, breast cancer, pancreatic cancer, and ovarian cancer). Noncoding RNAs (ncRNAs) are emerging new regulators of diverse biological functions, playing important roles in oncogenesis and tumor progression. Indeed, the short size of these molecules makes them stable in different body fluids such as urine, blood, and saliva, being not as susceptible as mRNAs to degradation by RNases. Here, the current status and clinical implications of the ncRNAs present in human saliva are reviewed for translational applications and basic biological research. The development of noninvasive salivary test (based on ncRNAs profiles) for disease detection could have effective applications into the clinical context with a translational significance as emerging molecular biomarkers for non-invasively disease detection, not only by reducing the cost to the health care system but also by benefitting patients. (C) 2015 Elsevier HS Journals, Inc. All rights reserved.</t>
  </si>
  <si>
    <t>[Wong, David T. W.] Univ Calif Los Angeles, David Geffen Sch Med, Jonnson Comprehens Canc Ctr, Sch Dent,Sch Engn,Dept Head &amp; Neck Surg,Div Oral, Los Angeles, CA 90095 USA</t>
  </si>
  <si>
    <t>UCLA Jonsson Comprehensive Cancer Center; University of California System; University of California Los Angeles; University of California Los Angeles Medical Center; David Geffen School of Medicine at UCLA</t>
  </si>
  <si>
    <t>Wong, DTW (corresponding author), Univ Calif Los Angeles, David Geffen Sch Med, Div Oral Biol, 10833 Le Conte Ave,73-017 CHS, Los Angeles, CA 90095 USA.</t>
  </si>
  <si>
    <t>0149-2918</t>
  </si>
  <si>
    <t>1879-114X</t>
  </si>
  <si>
    <t>10.1016/j.clinthera.2015.02.017</t>
  </si>
  <si>
    <t>WOS:000353252300009</t>
  </si>
  <si>
    <t>Tavoosidana, G; Ronquist, G; Darmanis, S; Yan, JH; Carlsson, L; Wu, D; Conze, T; Ek, P; Semjonow, A; Eltze, E; Larsson, A; Landegren, UD; Kamali-Moghaddam, M</t>
  </si>
  <si>
    <t>Tavoosidana, Gholamreza; Ronquist, Gunnar; Darmanis, Spyros; Yan, Junhong; Carlsson, Lena; Wu, Di; Conze, Tim; Ek, Pia; Semjonow, Axel; Eltze, Elke; Larsson, Anders; Landegren, Ulf D.; Kamali-Moghaddam, Masood</t>
  </si>
  <si>
    <t>Multiple recognition assay reveals prostasomes as promising plasma biomarkers for prostate cancer</t>
  </si>
  <si>
    <t>HUMAN SEMINAL PLASMA; CA2&amp;-STIMULATED ADENOSINE-TRIPHOSPHATASE; EXTRACELLULAR ORGANELLES PROSTASOMES; LINKED-IMMUNOSORBENT-ASSAY; PROXIMITY LIGATION; HUMAN SEMEN; PROTEOMIC ANALYSIS; OVARIAN-CANCER; PROTEIN; EXOSOMES</t>
  </si>
  <si>
    <t>Prostasomes are microvesicles (mean diameter, 150 nm) that are produced and secreted by normal and malignant prostate acinar cells. It has been hypothesized that invasive growth of malignant prostate cells may cause these microvesicles, normally released into seminal fluid, to appear in interstitial space and therewith into peripheral circulation. The suitability of prostasomes as blood biomarkers in patients with prostate cancer was tested by using an expanded variant of the proximity ligation assay (PLA). We developed an extremely sensitive and specific assay (4PLA) for detection of complex target structures such as microvesicles in which the target is first captured via an immobilized antibody and subsequently detected by using four other antibodies with attached DNA strands. The requirement for coincident binding by five antibodies to generate an amplifiable reporter results in both increased specificity and sensitivity. The assay successfully detected significantly elevated levels of prostasomes in blood samples from patients with prostate cancer before radical prostatectomy, compared with controls and men with benign biopsy results. The medians for prostasome levels in blood plasma of patients with prostate cancer were 2.5 to sevenfold higher compared with control samples in two independent studies, and the assay also distinguished patients with high and medium prostatectomy Gleason scores (8/9 and 7, respectively) from those with low score (&lt;= 6), thus reflecting disease aggressiveness. This approach that enables detection of prostasomes in peripheral blood may be useful for early diagnosis and assessment of prognosis in organ-confined prostate cancer.</t>
  </si>
  <si>
    <t>[Tavoosidana, Gholamreza; Darmanis, Spyros; Yan, Junhong; Wu, Di; Conze, Tim; Landegren, Ulf D.; Kamali-Moghaddam, Masood] Uppsala Univ, Sci Life Lab, Dept Immunol Genet &amp; Pathol, SE-75124 Uppsala, Sweden; [Ronquist, Gunnar; Carlsson, Lena; Larsson, Anders] Univ Hosp, Dept Med Sci, SE-75185 Uppsala, Sweden; [Ek, Pia] Uppsala Univ, Dept Med Biochem &amp; Microbiol, SE-75123 Uppsala, Sweden; [Semjonow, Axel] Univ Clin, Dept Urol, Prostate Ctr, D-48129 Munster, Germany; [Eltze, Elke] Univ Clin, Gerhard Domagk Inst Pathol, Prostate Ctr, D-48129 Munster, Germany</t>
  </si>
  <si>
    <t>Uppsala University; Uppsala University; Uppsala University Hospital; Uppsala University; University of Munster; University of Munster</t>
  </si>
  <si>
    <t>Kamali-Moghaddam, M (corresponding author), Uppsala Univ, Sci Life Lab, Dept Immunol Genet &amp; Pathol, SE-75124 Uppsala, Sweden.</t>
  </si>
  <si>
    <t>masood.kamali@igp.uu.se</t>
  </si>
  <si>
    <t>Landegren, Ulf D/A-8197-2019; Darmanis, Spyros/ABG-4670-2020; Tavoosidana, Gholamreza/AAV-3893-2020; Larsson, Agneta/AAT-9546-2020</t>
  </si>
  <si>
    <t>Darmanis, Spyros/0000-0003-4002-8158; Tavoosidana, Gholamreza/0000-0002-1079-7434; Larsson, Agneta/0000-0002-8692-249X; Yan, Junhong/0000-0002-2332-2315</t>
  </si>
  <si>
    <t>MAY 24</t>
  </si>
  <si>
    <t>10.1073/pnas.1019330108</t>
  </si>
  <si>
    <t>WOS:000290908000058</t>
  </si>
  <si>
    <t>Gershon, M; Gershon, A</t>
  </si>
  <si>
    <t>Gershon, Michael; Gershon, Anne</t>
  </si>
  <si>
    <t>Varicella-Zoster Virus and the Enteric Nervous System</t>
  </si>
  <si>
    <t>enteric zoster; guinea pig model; latency; reactivation; saliva</t>
  </si>
  <si>
    <t>STEM-CELL TRANSPLANTATION; HERPES-ZOSTER; OGILVIES-SYNDROME; ABDOMINAL-PAIN; PROTEIN-KINASE; INCREASED RISK; INFECTION; DNA; SALIVA; VZV</t>
  </si>
  <si>
    <t>Varicella zoster virus (VZV) infects and becomes latent in sensory, enteric, and other autonomic neurons during the viremia of varicella. Reactivation of VZV in neurons that project to the skin causes the rash of zoster; however, reactivation of VZV in enteric neurons can cause a painful gastrointestinal disorder (enteric zoster) without cutaneous manifestations. Detection of VZV DNA in saliva of patients with gastrointestinal symptoms may suggest enteric zoster. This diagnosis is reinforced by observing a response to antiviral therapy and can be confirmed by detecting VZV gene products in intestinal mucosal biopsies. We developed an in vivo guinea pig model that may be useful in studies of VZV latency and reactivation. VZV-infected lymphocytes are used to induce latent infection in sensory and enteric neurons; evidence suggests that exosomes and stimulator of interferon genes (STING) may, by preventing proliferation play roles in the establishment of neuronal latency.</t>
  </si>
  <si>
    <t>[Gershon, Michael] Columbia Univ Coll Phys &amp; Surg, Dept Pathol, 630 W 168th St, New York, NY 10032 USA; [Gershon, Anne] Columbia Univ Coll Phys &amp; Surg, Dept Pediat, New York, NY 10032 USA</t>
  </si>
  <si>
    <t>Columbia University; Columbia University</t>
  </si>
  <si>
    <t>Gershon, M (corresponding author), Columbia Univ, Vagelos Coll P&amp;S, Dept Pathol &amp; Cell Biol, P&amp;S Bldg 403,630 West 168th St, New York, NY 10032 USA.</t>
  </si>
  <si>
    <t>mdg4@columbia.edu</t>
  </si>
  <si>
    <t>S113</t>
  </si>
  <si>
    <t>S119</t>
  </si>
  <si>
    <t>10.1093/infdis/jiy407</t>
  </si>
  <si>
    <t>WOS:000448167700011</t>
  </si>
  <si>
    <t>Zhang, H; Zou, X; Wu, LR; Zhang, SY; Wang, TS; Liu, P; Zhu, W; Zhu, J</t>
  </si>
  <si>
    <t>Zhang, Huo; Zou, Xuan; Wu, Lirong; Zhang, Shiyu; Wang, Tongshan; Liu, Ping; Zhu, Wei; Zhu, Jun</t>
  </si>
  <si>
    <t>Identification of a 7-microRNA signature in plasma as promising biomarker for nasopharyngeal carcinoma detection</t>
  </si>
  <si>
    <t>CANCER MEDICINE</t>
  </si>
  <si>
    <t>biomarker; nasopharyngeal carcinoma; plasma miRNA; qRT-PCR</t>
  </si>
  <si>
    <t>EPSTEIN-BARR-VIRUS; MICRORNA DEREGULATION; CELL-PROLIFERATION; PROGNOSTIC VALUE; PROMOTES; DNA; TUMORIGENESIS; DIAGNOSIS</t>
  </si>
  <si>
    <t>Background Circulating microRNAs (miRNAs) have become reliable sources of non-invasive biomarkers for cancer diagnosis. Identification of promising miRNA biomarkers in plasma might benefit a lot to the detection of nasopharyngeal carcinoma (NPC). Methods The Exiqon miRNA qPCR panel was used in the screening stage to identify candidate miRNAs, which were further verified by quantitative reverse transcription polymerase chain reaction (qRT-PCR) in the following three stages among plasma samples from 200 NPC patients and 189 healthy donors (as normal controls [NCs]). The identified miRNAs were further explored in tissue specimens (48 NPC vs 32 NCs) and plasma exosomes (32 NPC vs 32 NCs). Survival analyses were ultimately conducted by Cox regression models and Kaplan-Meier curves using log-rank tests. Results We identified a 7-miRNA signature including let-7b-5p, miR-140-3p, miR-144-3p, miR-17-5p, miR-20a-5p, miR-20b-5p, and miR-205-5p in plasma for NPC diagnosis after four-stage validation. The areas under the receiver operating characteristic curve (AUCs) for the signature were 0.879, 0.884, 0.921, and 0.807 for the training, testing, external validation stage, and the combined three stages, respectively. In NPC tissues, miR-144-3p, miR-17-5p, miR-20a-5p, and miR-205-5p were consistently up-regulated while let-7b-5p and miR-140-3p were significantly down-regulated compared to NCs. However, none of the seven identified miRNAs were dysregulated in plasma-derived exosomes in NPC patients. As to survival analysis, none of the seven miRNAs seemed to be associated with NPC prognosis. Conclusion We identified a 7-miRNA signature in plasma as promising non-invasive biomarkers for NPC detection.</t>
  </si>
  <si>
    <t>[Zhang, Huo; Zhang, Shiyu; Wang, Tongshan; Liu, Ping; Zhu, Wei] Nanjing Med Univ, Affiliated Hosp 1, Dept Oncol, 300 Guangzhou Rd, Nanjing 210029, Jiangsu, Peoples R China; [Zhang, Huo] Yangzhou Univ, Northern Jiangsu Peoples Hosp, Dept Med Oncol, Yangzhou, Jiangsu, Peoples R China; [Zou, Xuan] Fudan Univ, Shanghai Canc Ctr, Shanghai, Peoples R China; [Wu, Lirong; Zhu, Jun] Nanjing Med Univ, Dept Radiat Oncol, Affiliated Canc Hosp, Jiangsu Canc Hosp,Jiangsu Inst Canc Res, 42 Baiziting Rd, Nanjing 210009, Jiangsu, Peoples R China</t>
  </si>
  <si>
    <t>Nanjing Medical University; Yangzhou University; Fudan University; Nanjing Medical University</t>
  </si>
  <si>
    <t>Liu, P; Zhu, W (corresponding author), Nanjing Med Univ, Affiliated Hosp 1, Dept Oncol, 300 Guangzhou Rd, Nanjing 210029, Jiangsu, Peoples R China.;Zhu, J (corresponding author), Nanjing Med Univ, Dept Radiat Oncol, Affiliated Canc Hosp, Jiangsu Canc Hosp,Jiangsu Inst Canc Res, 42 Baiziting Rd, Nanjing 210009, Jiangsu, Peoples R China.</t>
  </si>
  <si>
    <t>liupinga28@163.com; zhuwei@njmu.edu.cn; zhujdr@126.com</t>
  </si>
  <si>
    <t>Wu, Lirong/0000-0003-1307-9312</t>
  </si>
  <si>
    <t>2045-7634</t>
  </si>
  <si>
    <t>10.1002/cam4.2676</t>
  </si>
  <si>
    <t>DEC 2019</t>
  </si>
  <si>
    <t>WOS:000503335700001</t>
  </si>
  <si>
    <t>Wang, HF; Chen, XL; Bao, LL; Zhang, XD</t>
  </si>
  <si>
    <t>Wang, Haifeng; Chen, Xiliang; Bao, Lingling; Zhang, Xuede</t>
  </si>
  <si>
    <t>Investigating potential molecular mechanisms of serum exosomal miRNAs in colorectal cancer based on bioinformatics analysis</t>
  </si>
  <si>
    <t>MEDICINE</t>
  </si>
  <si>
    <t>bioinformatics analysis; colorectal cancer; differentially expressed microRNAs; hub gene; serum exosomes</t>
  </si>
  <si>
    <t>B-VIRUS INFECTION; TUMOR-SUPPRESSOR; BREAST-CANCER; MICRORNAS; BIOMARKERS; CELLS; INVASION; CDC42; IDENTIFICATION; PROTEOGLYCANS</t>
  </si>
  <si>
    <t>Colorectal cancer (CRC) is the most common malignant gastrointestinal tumor worldwide. Serum exosomal microRNAs (miRNAs) play a critical role in tumor progression and metastasis. However, the underlying molecular mechanisms are poorly understood. The miRNAs expression profile (GSE39833) was downloaded from Gene Expression Omnibus (GEO) database. GEO2R was applied to screen the differentially expressed miRNAs (DEmiRNAs) between healthy and CRC serum exosome samples. The target genes of DEmiRNAs were predicted by starBase v3.0 online tool. The gene ontology (GO) and Kyoto Encyclopedia of Genomes pathway (KEGG) enrichment analysis were performed using the Database for Annotation, Visualization and Integrated Discovery (DAVID) online tool. The protein-protein interaction (PPI) network was established by the Search Tool for the Retrieval of Interacting Genes (STRING) visualized using Cytoscape software. Molecular Complex Detection (MCODE) and cytohubba plug-in were used to screen hub genes and gene modules. In total, 102 DEmiRNAs were identified including 67 upregulated and 35 downregulated DEmiRNAs, and 1437 target genes were predicted. GO analysis showed target genes of upregulated DEmiRNAs were significantly enriched in transcription regulation, protein binding, and ubiquitin protein ligase activity. While the target genes of downregulated DEmiRNAs were mainly involved in transcription from RNA polymerase II promoter, SMAD binding, and DNA binding. The KEGG pathway enrichment analyses showed target genes of upregulated DEmiRNAs were significantly enriched in proteoglycans in cancer, microRNAs in cancer, and phosphatidylinositol-3 kinases/Akt (PI3K-Akt) signaling pathway, while target genes of downregulated DEmiRNAs were mainly enriched in transforming growth factor-beta (TGF-beta) signaling pathway and proteoglycans in cancer. The genes of the top 3 modules were mainly enriched in ubiquitin mediated proteolysis, spliceosome, and mRNA surveillance pathway. According to the cytohubba plugin, 37 hub genes were selected, and 4 hub genes including phosphoinositide-3-kinase regulatory subunit 1 (PIK3R1), SRC, cell division cycle 42 (CDC42), E1A binding protein p300 (EP300) were identified by combining 8 ranked methods of cytohubba. The study provides a comprehensive analysis of exosomal DEmiRNAs and target genes regulatory network in CRC, which can better understand the roles of exosomal miRNAs in the development of CRC. However, these findings require further experimental validation in future studies.</t>
  </si>
  <si>
    <t>[Wang, Haifeng; Bao, Lingling; Zhang, Xuede] Beilun Dist Peoples Hosp, Dept Hematol &amp; Oncol, Ningbo 315800, Zhejiang, Peoples R China; [Chen, Xiliang] Zhangqiu Dist Peoples Hosp, Dept Clin Lab, Jinan, Shandong, Peoples R China</t>
  </si>
  <si>
    <t>Zhang, XD (corresponding author), Beilun Dist Peoples Hosp, Dept Hematol &amp; Oncol, Ningbo 315800, Zhejiang, Peoples R China.</t>
  </si>
  <si>
    <t>Huanyanmeizhi@163.com</t>
  </si>
  <si>
    <t>0025-7974</t>
  </si>
  <si>
    <t>1536-5964</t>
  </si>
  <si>
    <t>10.1097/MD.0000000000022199</t>
  </si>
  <si>
    <t>WOS:000579180600087</t>
  </si>
  <si>
    <t>Goulielmaki, E; Ioannidou, A; Tsekrekou, M; Stratigi, K; Poutakidou, IK; Gkirtzimanaki, K; Aivaliotis, M; Evangelou, K; Topalis, P; Altmuller, J; Gorgoulis, VG; Chatzinikolaou, G; Garinis, GA</t>
  </si>
  <si>
    <t>Goulielmaki, Evi; Ioannidou, Anna; Tsekrekou, Maria; Stratigi, Kalliopi; Poutakidou, Ioanna K.; Gkirtzimanaki, Katerina; Aivaliotis, Michalis; Evangelou, Konstantinos; Topalis, Pantelis; Altmueller, Janine; Gorgoulis, Vassilis G.; Chatzinikolaou, Georgia; Garinis, George A.</t>
  </si>
  <si>
    <t>Tissue-infiltrating macrophages mediate an exosome-based metabolic reprogramming upon DNA damage</t>
  </si>
  <si>
    <t>NUCLEOTIDE EXCISION-REPAIR; NF-KAPPA-B; GLUCOSE-TRANSPORT; STATISTICAL-MODEL; IN-VIVO; PROTEINS; OBESITY; MICE; ERCC1-XPF; LONGEVITY</t>
  </si>
  <si>
    <t>DNA damage and metabolic disorders are intimately linked with premature disease onset but the underlying mechanisms remain poorly understood. Here, we show that persistent DNA damage accumulation in tissue-infiltrating macrophages carrying an ERCC1-XPF DNA repair defect (Er1(F/-)) triggers Golgi dispersal, dilation of endoplasmic reticulum, autophagy and exosome biogenesis leading to the secretion of extracellular vesicles (EVs) in vivo and ex vivo. Macrophage-derived EVs accumulate in Er1(F/-) animal sera and are secreted in macrophage media after DNA damage. The Er1(F/-) EV cargo is taken up by recipient cells leading to an increase in insulin-independent glucose transporter levels, enhanced cellular glucose uptake, higher cellular oxygen consumption rate and greater tolerance to glucose challenge in mice. We find that high glucose in EV-targeted cells triggers pro-inflammatory stimuli via mTOR activation. This, in turn, establishes chronic inflammation and tissue pathology in mice with important ramifications for DNA repair-deficient, progeroid syndromes and aging.</t>
  </si>
  <si>
    <t>[Goulielmaki, Evi; Ioannidou, Anna; Tsekrekou, Maria; Stratigi, Kalliopi; Poutakidou, Ioanna K.; Gkirtzimanaki, Katerina; Aivaliotis, Michalis; Topalis, Pantelis; Chatzinikolaou, Georgia; Garinis, George A.] Fdn Res &amp; Technol Hellas, Inst Mol Biol &amp; Biotechnol, GR-70013 Iraklion, Crete, Greece; [Ioannidou, Anna; Tsekrekou, Maria; Garinis, George A.] Univ Crete, Dept Biol, Iraklion, Crete, Greece; [Evangelou, Konstantinos; Gorgoulis, Vassilis G.] Athens Med Sch, Dept Histol &amp; Embryol, GR-11527 Athens, Greece; [Altmueller, Janine] Univ Cologne, Cologne Ctr Genom CCG, Inst Genet, D-50931 Cologne, Germany; [Gorgoulis, Vassilis G.] Acad Athens, Biomed Res Fdn, 4 Soranou Ephessiou St, GR-11527 Athens, Greece; [Gorgoulis, Vassilis G.] Univ Manchester, Manchester Acad Hlth Sci Ctr, Fac Biol Med &amp; Hlth, Wilmslow Rd, Manchester M20 4QL, Lancs, England</t>
  </si>
  <si>
    <t>Foundation for Research &amp; Technology - Hellas (FORTH); University of Crete; National &amp; Kapodistrian University of Athens; German Sport University Cologne; University of Cologne; Academy of Athens; University of Manchester</t>
  </si>
  <si>
    <t>Garinis, GA (corresponding author), Fdn Res &amp; Technol Hellas, Inst Mol Biol &amp; Biotechnol, GR-70013 Iraklion, Crete, Greece.;Garinis, GA (corresponding author), Univ Crete, Dept Biol, Iraklion, Crete, Greece.</t>
  </si>
  <si>
    <t>garinis@imbb.forth.gr</t>
  </si>
  <si>
    <t>Tsekrekou, Maria/ABE-1277-2021; Garinis, George A./B-2943-2012; Gorgoulis, Vassilis/AAD-3630-2019; Aivaliotis, Michalis/D-4841-2011</t>
  </si>
  <si>
    <t>Garinis, George A./0000-0002-3200-5004; Tsekrekou, Maria/0000-0002-0635-1499; Altmuller, Janine/0000-0003-4372-1521; Gorgoulis, Vassilis/0000-0001-9001-4112; Aivaliotis, Michalis/0000-0003-1173-7705</t>
  </si>
  <si>
    <t>10.1038/s41467-019-13894-9</t>
  </si>
  <si>
    <t>WOS:000551395800001</t>
  </si>
  <si>
    <t>Ronquist, GK; Larsson, A; Ronquist, G; Isaksson, A; Hreinsson, J; Carlsson, L; Stavreus-Evers, A</t>
  </si>
  <si>
    <t>Ronquist, Goran K.; Larsson, Anders; Ronquist, Gunnar; Isaksson, Anders; Hreinsson, Julius; Carlsson, Lena; Stavreus-Evers, Anneli</t>
  </si>
  <si>
    <t>Prostasomal DNA Characterization and Transfer Into Human Sperm</t>
  </si>
  <si>
    <t>HUMAN SEMINAL PLASMA; EXTRACELLULAR ORGANELLES PROSTASOMES; HUMAN SEMEN; ENRICHED MICRODOMAINS; MEMBRANE-FUSION; SPERMATOZOA; VESICLES; PREGNANCY; CELLS; MOUSE</t>
  </si>
  <si>
    <t>Human prostasomes, exosome-like microvesicles secreted by acinar cells of the prostate gland, contain chromosomal DNA. Agarose gel electrophoresis of DNA from seminal prostasomes displayed fragments of over 12 kb and smaller, with a distinct band around 1 kb that was excised, cloned, and sequenced. The sequences showed 8 out of 25 clones (32%) originating from genes. We elaborated the concept further by carrying out a genome-wide DNA copy number analysis of prostasomal DNA, hypothesizing that human prostasomes contain fragments of DNA randomly selected from the entire genome. Acridine orange-stained prostasomes were incubated with freshly prepared sperm for different times, and a transfer of acridine orange-stained prostasomal DNA to sperm (preferentially the head region) was observed. Fluorescence microscopy of slices in the center of 14 optical slides of the sperm head displayed an even fluorescence rather than a halo-like one, indicating DNA-uptake rather than just binding along the sperm head membrane. Mol. Reprod. Dev. 78: 467-476, 2011. (C) 2011 Wiley-Liss, Inc.</t>
  </si>
  <si>
    <t>[Ronquist, Goran K.; Larsson, Anders; Ronquist, Gunnar; Carlsson, Lena] Uppsala Univ, Dept Med Sci, S-75185 Uppsala, Sweden; [Isaksson, Anders] Uppsala Univ, Dept Med Sci Canc Pharmacol &amp; Informat, S-75185 Uppsala, Sweden; [Hreinsson, Julius; Stavreus-Evers, Anneli] Uppsala Univ, Dept Womens &amp; Childrens Hlth, S-75185 Uppsala, Sweden</t>
  </si>
  <si>
    <t>Uppsala University; Uppsala University; Uppsala University</t>
  </si>
  <si>
    <t>Larsson, A (corresponding author), Uppsala Univ, Dept Med Sci, S-75185 Uppsala, Sweden.</t>
  </si>
  <si>
    <t>Isaksson, Anders/0000-0001-6576-7825; Ronquist, Goran/0000-0001-5885-8067</t>
  </si>
  <si>
    <t>10.1002/mrd.21327</t>
  </si>
  <si>
    <t>WOS:000293457500004</t>
  </si>
  <si>
    <t>Nazarenko, I</t>
  </si>
  <si>
    <t>Schaffner, F; Merlin, JL; VonBubnoff, N</t>
  </si>
  <si>
    <t>Nazarenko, Irina</t>
  </si>
  <si>
    <t>Extracellular Vesicles: Recent Developments in Technology and Perspectives for Cancer Liquid Biopsy</t>
  </si>
  <si>
    <t>TUMOR LIQUID BIOPSIES</t>
  </si>
  <si>
    <t>Recent Results in Cancer Research</t>
  </si>
  <si>
    <t>DOUBLE-STRANDED DNA; PROSTATE-CANCER; PROTEOMIC ANALYSIS; EXOSOME SECRETION; APOPTOTIC BODIES; LARGE ONCOSOMES; SERUM EXOSOMES; MESSENGER-RNA; EMERGING ROLE; TUMOR-GROWTH</t>
  </si>
  <si>
    <t>[Nazarenko, Irina] Univ Freiburg, Inst Infect Prevent &amp; Hosp Epidemiol, Med Ctr, Fac Med, D-79106 Freiburg, Germany; [Nazarenko, Irina] German Canc Consortium DKTK, German Canc Res Ctr DKFZ, Partner Site Freiburg, Heidelberg, Germany</t>
  </si>
  <si>
    <t>University of Freiburg; Helmholtz Association; German Cancer Research Center (DKFZ)</t>
  </si>
  <si>
    <t>Nazarenko, I (corresponding author), Univ Freiburg, Inst Infect Prevent &amp; Hosp Epidemiol, Med Ctr, Fac Med, D-79106 Freiburg, Germany.</t>
  </si>
  <si>
    <t>irina.nazarenko@uniklinik-freiburg.de</t>
  </si>
  <si>
    <t>Nazarenko, Irina/E-5714-2010</t>
  </si>
  <si>
    <t>Nazarenko, Irina/0000-0002-2633-1161</t>
  </si>
  <si>
    <t>0080-0015</t>
  </si>
  <si>
    <t>2197-6767</t>
  </si>
  <si>
    <t>978-3-030-26439-0; 978-3-030-26438-3</t>
  </si>
  <si>
    <t>10.1007/978-3-030-26439-0_17</t>
  </si>
  <si>
    <t>10.1007/978-3-030-26439-0</t>
  </si>
  <si>
    <t>WOS:000562810500017</t>
  </si>
  <si>
    <t>Sanchez, II; Nguyen, TB; England, WE; Lim, RG; Vu, AQ; Miramontes, R; Byrne, LM; Markmiller, S; Lau, AL; Orellana, I; Curtis, MA; Faull, RLM; Yeo, GW; Fowler, CD; Reidling, JC; Wild, EJ; Spitale, RC; Thompson, LM</t>
  </si>
  <si>
    <t>Sanchez, Isabella I.; Nguyen, Thai B.; England, Whitney E.; Lim, Ryan G.; Vu, Anthony Q.; Miramontes, Ricardo; Byrne, Lauren M.; Markmiller, Sebastian; Lau, Alice L.; Orellana, Iliana; Curtis, Maurice A.; Faull, Richard Lewis Maxwell; Yeo, Gene W.; Fowler, Christie D.; Reidling, Jack C.; Wild, Edward J.; Spitale, Robert C.; Thompson, Leslie M.</t>
  </si>
  <si>
    <t>Huntington's disease mice and human brain tissue exhibit increased G3BP1 granules and TDP43 mislocalization</t>
  </si>
  <si>
    <t>JOURNAL OF CLINICAL INVESTIGATION</t>
  </si>
  <si>
    <t>STRESS GRANULES; EXTRACELLULAR VESICLES; PROTEIN INTERACTIONS; PHASE-SEPARATION; CEREBRAL-CORTEX; EXOSOMES; TDP-43; DYSFUNCTION; AUTOPHAGY; BINDING</t>
  </si>
  <si>
    <t>Chronic cellular stress associated with neurodegenerative disease can result in the persistence of stress granule (SG) structures, membraneless organelles that form in response to cellular stress. In Huntington's disease (HD), chronic expression of mutant huntingtin generates various forms of cellular stress, including activation of the unfolded protein response and oxidative stress. However, it has yet to be determined whether SGs are a feature of HD neuropathology. We examined the miRNA composition of extracellular vesicles (EVs) present in the cerebrospinal fluid (CSF) of patients with HD and show that a subset of their target mRNAs were differentially expressed in the prefrontal cortex. Of these targets, SG components were enriched, including the SG-nucleating Ras GTPase-activating protein-binding protein 1 (G3BP1). We investigated localization and levels of G3BP1 and found a significant increase in the density of G3BP1-positive granules in the cortex and hippocampus of R6/2 transgenic mice and in the superior frontal cortex of the brains of patients with HD. Intriguingly, we also observed that the SG-associated TAR DNA-binding protein 43 (TDP43), a nuclear RNA/DNA binding protein, was mislocalized to the cytoplasm of G3BP1 granule-positive HD cortical neurons. These findings suggest that G3BP1 SG dynamics may play a role in the pathophysiology of HD. Chronic cellular stress associated with neurodegenerative disease can result in the persistence of stress granule (SG) structures, membraneless organelles that form in response to cellular stress. In Huntington's disease (HD), chronic expression of mutant huntingtin generates various forms of cellular stress, including activation of the unfolded protein response and oxidative stress. However, it has yet to be determined whether SGs are a feature of HD neuropathology. We examined the miRNA composition of extracellular vesicles (EVs) present in the cerebrospinal fluid (CSF) of patients with HD and show that a subset of their target mRNAs were differentially expressed in the prefrontal cortex. Of these targets, SG components were enriched, including the SG-nucleating Ras GTPase-activating protein-binding protein 1 (G3BP1). We investigated localization and levels of G3BP1 and found a significant increase in the density of G3BP1-positive granules in the cortex and hippocampus of R6/2 transgenic mice and in the superior frontal cortex of the brains of patients with HD. Intriguingly, we also observed that the SG-associated TAR DNA-binding protein 43 (TDP43), a nuclear RNA/DNA binding protein, was mislocalized to the cytoplasm of G3BP1 granule-positive HD cortical neurons. These findings suggest that G3BP1 SG dynamics may play a role in</t>
  </si>
  <si>
    <t>[Sanchez, Isabella I.; Nguyen, Thai B.; Fowler, Christie D.; Thompson, Leslie M.] Univ Calif Irvine, Dept Neurobiol &amp; Behav, Irvine, CA 92697 USA; [England, Whitney E.; Spitale, Robert C.] Univ Calif Irvine, Dept Pharmaceut Sci, Irvine, CA 92697 USA; [Lim, Ryan G.; Miramontes, Ricardo; Reidling, Jack C.; Thompson, Leslie M.] Univ Calif Irvine, Inst Memory Impairment &amp; Neurol Disorders, Irvine, CA 92697 USA; [Vu, Anthony Q.; Markmiller, Sebastian; Yeo, Gene W.] Univ Calif San Diego, Dept Cellular &amp; Mol Med, La Jolla, CA 92093 USA; [Vu, Anthony Q.; Markmiller, Sebastian; Yeo, Gene W.] Univ Calif San Diego, Inst Genom Med, La Jolla, CA 92093 USA; [Vu, Anthony Q.; Markmiller, Sebastian; Yeo, Gene W.] Univ Calif San Diego, UCSD Stem Cell Program, La Jolla, CA 92093 USA; [Byrne, Lauren M.; Wild, Edward J.] UCL, UCL Huntingtons Dis Ctr, UCL Queen Sq Inst Neurol, London, England; [Lau, Alice L.; Thompson, Leslie M.] Univ Calif Irvine, Dept Psychiat &amp; Human Behav, Irvine, CA 92697 USA; [Orellana, Iliana; Thompson, Leslie M.] Univ Calif Irvine, Sue &amp; Bill Gross Stem Cell Ctr, Irvine, CA 92697 USA; [Curtis, Maurice A.; Faull, Richard Lewis Maxwell] Univ Auckland, Dept Anat &amp; Med Imaging, Fac Med &amp; Hlth Sci, Auckland, New Zealand; [Curtis, Maurice A.; Faull, Richard Lewis Maxwell] Univ Auckland, Ctr Brain Res, Fac Med &amp; Hlth Sci, Auckland, New Zealand; [Spitale, Robert C.] Univ Calif Irvine, Dept Chem, Irvine, CA 92697 USA</t>
  </si>
  <si>
    <t>University of California System; University of California Irvine; University of California System; University of California Irvine; University of California System; University of California Irvine; University of California System; University of California San Diego; University of California System; University of California San Diego; University of California System; University of California San Diego; University of London; University College London; University of California System; University of California Irvine; University of California System; University of California Irvine; University of Auckland; University of Auckland; University of California System; University of California Irvine</t>
  </si>
  <si>
    <t>Thompson, LM (corresponding author), Univ Calif Irvine, 4060 Gross Hall,845 Hlth Sci Rd, Irvine, CA 92697 USA.</t>
  </si>
  <si>
    <t>lmthomps@uci.edu</t>
  </si>
  <si>
    <t>England, Whitney/AAA-5016-2019; Yeo, Gene/AAE-7676-2019; Byrne, Lauren/C-4572-2017</t>
  </si>
  <si>
    <t>England, Whitney/0000-0001-6712-0101; Yeo, Gene/0000-0002-0799-6037; Markmiller, Sebastian/0000-0002-5399-047X; Wild, Edward/0000-0002-6921-7887; vu, anthony/0000-0001-8922-6409; Nguyen, Thai Bao/0000-0001-8450-2988; Sanchez, Isabella/0000-0003-3755-1909; Fowler, Christie/0000-0003-2864-2163; Lim, Ryan/0000-0001-6388-5158; Byrne, Lauren/0000-0003-1650-4273</t>
  </si>
  <si>
    <t>0021-9738</t>
  </si>
  <si>
    <t>1558-8238</t>
  </si>
  <si>
    <t>e140723</t>
  </si>
  <si>
    <t>10.1172/JCI140723</t>
  </si>
  <si>
    <t>WOS:000661970000002</t>
  </si>
  <si>
    <t>Fan, WJ; Han, PH; Feng, QY; Sun, YY; Ren, W; Lawson, T; Liu, CH</t>
  </si>
  <si>
    <t>Fan, Wenjiao; Han, Pihua; Feng, Qinya; Sun, Yuanyuan; Ren, Wei; Lawson, Thomas; Liu, Chenghui</t>
  </si>
  <si>
    <t>Nucleic Acid Substrate-Independent DNA Polymerization on the Exosome Membrane: A Mechanism Study and Application in Exosome Analysis</t>
  </si>
  <si>
    <t>EXTRACELLULAR VESICLES; LABEL-FREE; CLASSIFICATION</t>
  </si>
  <si>
    <t>As generally acknowledged, terminal deoxynucleotidyl transferase (TdT) can only elongate DNA substrates from their 3'-OH ends. Herein, for the first time, we report that TdT-catalyzed DNA polymerization can directly proceed on the exosome membrane without the mediation of any nucleic acids. We prove that both the glycosyl and phenolic hydroxyl groups on the membrane proteins can initiate the DNA polymerization. Accordingly, we have developed powerful strategies for high-sensitive exosome profiling based on a conventional flow cytometer and an emerging CRISPR/Cas system. By using our strategy, the featured membrane protein distributions of different cancer cell-derived exosomes can be figured out, which can clearly distinguish plasma samples of breast cancer patients from those of healthy people. This work paves new ways for exosome profiling and liquid biopsy and expands the understanding of TdT, holding great significance in developing TdT-based sensing systems as well as establishing protein/nucleic acid hybrid biomaterials.</t>
  </si>
  <si>
    <t>[Fan, Wenjiao; Feng, Qinya; Ren, Wei; Liu, Chenghui] Minist Educ, Key Lab Appl Surface &amp; Colloid Chem, Xian 710119, Shaanxi, Peoples R China; [Fan, Wenjiao; Feng, Qinya; Ren, Wei; Liu, Chenghui] Key Lab Analyt Chem Life Sci Shaanxi Prov, Xian 710119, Shaanxi, Peoples R China; [Fan, Wenjiao; Feng, Qinya; Ren, Wei; Liu, Chenghui] Shaanxi Normal Univ, Sch Chem &amp; Chem Engn, Xian 710119, Shaanxi, Peoples R China; [Han, Pihua] Shaanxi Prov Canc Hosp, Xian 710061, Shaanxi, Peoples R China; [Sun, Yuanyuan] Zhengzhou Univ, Dept Translat Med Ctr, Affiliated Hosp 1, Zhengzhou 450052, Henan, Peoples R China; [Lawson, Thomas] Macquarie Univ, ARC Ctr Excellence Nanoscale BioPhoton, Sydney, NSW 2109, Australia</t>
  </si>
  <si>
    <t>Shaanxi Normal University; Zhengzhou University; Macquarie University</t>
  </si>
  <si>
    <t>Liu, CH (corresponding author), Minist Educ, Key Lab Appl Surface &amp; Colloid Chem, Xian 710119, Shaanxi, Peoples R China.;Liu, CH (corresponding author), Key Lab Analyt Chem Life Sci Shaanxi Prov, Xian 710119, Shaanxi, Peoples R China.;Liu, CH (corresponding author), Shaanxi Normal Univ, Sch Chem &amp; Chem Engn, Xian 710119, Shaanxi, Peoples R China.</t>
  </si>
  <si>
    <t>liuch@snnu.edu.cn</t>
  </si>
  <si>
    <t>; Liu, Chenghui/N-2703-2014</t>
  </si>
  <si>
    <t>Sun, Yuanyuan/0000-0002-2843-739X; Liu, Chenghui/0000-0001-8375-0242; Ren, Wei/0000-0002-6537-6039</t>
  </si>
  <si>
    <t>10.1021/acs.analchem.1c04636</t>
  </si>
  <si>
    <t>WOS:000763579800031</t>
  </si>
  <si>
    <t>Sinha, AA; Jamuar, MP; Wilson, MJ; Rozhin, J; Sloane, BF</t>
  </si>
  <si>
    <t>Plasma membrane association of cathepsin B in human prostate cancer: Biochemical and immunogold electron microscopic analysis</t>
  </si>
  <si>
    <t>malignant prostate; benign prostatic hyperplasia; cathepsin B; cysteine protease inhibitors; subcellular distribution of CB; subcellular fractionation; isolation of lysosomes; endosomes/plasma membranes; biochemical methods; immunogold electron microscopy</t>
  </si>
  <si>
    <t>CYSTEINE PROTEINASES; TUMOR PROGRESSION; LOCALIZATION; ANTIGEN; EXPRESSION; INHIBITORS; CARCINOMA; CELLS; FORMS; ACID</t>
  </si>
  <si>
    <t>BACKGROUND. Cathepsin B (CB), a cysteine protease, is usually found in perinuclear lysosomes of epithelial cells of normal organs and non-malignant tumors, but is associated with the plasma membranes of many solid organ malignant tumors. Plasma membrane localized CB facilitates degradation of extracellular matrix proteins and progression of tumor cells from one biological compartment to another. The activities of CB and its subcellular distribution have not been investigated in malignant prostate. Our objective was to examine the subcellular distribution of CB by determining the activities of CB in lysosome and plasma membrane/endosome subcellular fractions and its subcellular localization by immunogold electron microscopy. METHODS. Prostate tissue pieces obtained immediately after prostatectomy were homogenized and fractionated into subcellular components for determining biochemical activities of CB and cysteine protease inhibitors (CPIs). Distribution of CB was compared with that of prostate specific antigen (PSA, a serine protease), which is abundant in secretory vesicles and granules of normal prostate, benign prostatic hyperplasia (BPH) and malignant prostate cells. Localization of CB was investigated in resin embedded lysosomes and plasma membrane/endosome subcellular fractions and in prostate tissue sections by immunogold electron microscopy. RESULTS. We have demonstrated the specificity of CB activity in human prostate homogenates by using a variety of inhibitors in our assay. We did not find any difference in the specific activity of CB based on protein or DNA content in homogenates of malignant prostate (Gleason histologic scores 5-7) and BPH (no histological evidence of cancer) whether it was measured by chromogenic or fluorogenic peptide substrate assay techniques. We found significantly higher activities of CB in the plasma membrane/ endosome fractions of malignant prostate than in BPH. In contrast, CPI activity was increased relative to CB activity in plasma membrane/ endosome fraction of BPH versus prostate cancer. Our data indicated a shift in the balance of enzyme to inhibitor that would favor increased activities of CB in prostate cancer. The immunogold microscopic study showed specific localization of CB in plasma membrane. They also showed localization of CB in lysosomes that were often adjacent to luminal and/or basal surfaces of malignant cells in contrast to the usual perinuclear distribution of lysosomes in hyperplastic prostate glands. PSA was localized in secretory granules and vesicles, including the plasma membranes and secretory blebs in malignant prostate cells. Occasional PSA positive secretory vesicles or membrane profiles were seen in the plasma membrane/endosomal and lysosomal fractions. CONCLUSIONS. The increased activity of CB in plasma membrane/endosomal fractions is associated with malignant prostate and not with BPH or normal prostate. Morphologic distribution CB is associated with the plasma membranes or lysosomes adjacent to apical and basal cell surfaces. This distribution is characteristic feature prostate cancer cells, but not in BPH or normal prostate cells. Subcellular distribution of PSA occurs in secretory vesicles and granules of the cytoplasm, but not in lysosomes. Our biochemical and morphological data could be used to distinguish malignant prostates from non-malignant tumors. (C) 2001 Wiley-Liss, Inc.</t>
  </si>
  <si>
    <t>Vet Affairs Med Ctr, Res Serv 151, Minneapolis, MN 55417 USA; Univ Minnesota, Dept Genet Cell Biol &amp; Dev, Minneapolis, MN 55417 USA; Univ Minnesota, Dept Genet Cell Biol &amp; Dev, Minneapolis, MN 55455 USA; Univ Minnesota, Dept Lab Med &amp; Pathol, Minneapolis, MN 55455 USA; Univ Minnesota, Dept Urol &amp; Urol Surg, Minneapolis, MN 55455 USA; Univ Minnesota, Ctr Canc, Minneapolis, MN 55455 USA; Wayne State Univ, Dept Pharmacol, Detroit, MI 48201 USA</t>
  </si>
  <si>
    <t>US Department of Veterans Affairs; Veterans Health Administration (VHA); Minneapolis VA Health Care System; University of Minnesota System; University of Minnesota Twin Cities; University of Minnesota System; University of Minnesota Twin Cities; University of Minnesota System; University of Minnesota Twin Cities; University of Minnesota System; University of Minnesota Twin Cities; University of Minnesota System; University of Minnesota Twin Cities; Wayne State University</t>
  </si>
  <si>
    <t>Sinha, AA (corresponding author), Vet Affairs Med Ctr, Res Serv 151, 1 Vet Dr, Minneapolis, MN 55417 USA.</t>
  </si>
  <si>
    <t>sinha001@tc.umn.edu</t>
  </si>
  <si>
    <t>Sloane, Bonnie F/A-1050-2009</t>
  </si>
  <si>
    <t>10.1002/pros.1132</t>
  </si>
  <si>
    <t>WOS:000172006900003</t>
  </si>
  <si>
    <t>Shi, M; Jiang, Y; Yang, L; Yan, SS; Wang, YG; Lu, XJ</t>
  </si>
  <si>
    <t>Shi, Min; Jiang, Ye; Yang, Lu; Yan, Shushan; Wang, Yu-Gang; Lu, Xiao-Jie</t>
  </si>
  <si>
    <t>Decreased levels of serum exosomal miR-638 predict poor prognosis in hepatocellular carcinoma</t>
  </si>
  <si>
    <t>JOURNAL OF CELLULAR BIOCHEMISTRY</t>
  </si>
  <si>
    <t>exosomes; hepatocellular carcinoma; microRNAs; prognosis</t>
  </si>
  <si>
    <t>INHIBITS CELL-PROLIFERATION; DOWN-REGULATION; LIVER-CANCER; MICRORNA; BIOMARKERS; BIOGENESIS; PLASMA; MIRNAS; DNA</t>
  </si>
  <si>
    <t>Currently available studies have implicated that exosome-delivered microRNAs (miRNAs) play crucial roles in human cancer. However, the association of serum exosomal miR-638 and hepatocellular carcinoma (HCC) remains largely unknown. We aim to investigate the expression of exosomal miR-638 in serum of HCC patients and its prognostic role in this deadly disease. Kaplan-Meier and Cox regression analyses were used to determine the survival of patients histologically diagnosed with HCC. Reduced levels of exosomal miR-638 in serum samples from patients with HCC were identified by real-time PCR. Negative association of serum exosomal miR-638 with tumor size, vascular infiltration, and TNM stage was observed in HCC patients. Besides, the proliferation of Huh7 and SMCC7721 HCC cells were significantly inhibited when miR-638 was over-expressed in these cells. In addition, HCC patients with lower levels of serum exosomal miR-638 had poor overall survival than those with higher levels of exosomal miR-638 in serum. Our study strongly suggests that serum exosome-delivered miR-638 may serve as a novel circulating biomarker for HCC. Downregulation of miR-638 predicts poor prognosis for patients with HCC.</t>
  </si>
  <si>
    <t>[Shi, Min; Wang, Yu-Gang] Shanghai Jiao Tong Univ, Shanghai Tongren Hosp, Dept Gastroenterol, Sch Med, Shanghai, Peoples R China; [Jiang, Ye; Yang, Lu] Nanjing Med Univ, Dept Lab Med, Affiliated Hosp 1, Nanjing, Jiangsu, Peoples R China; [Yan, Shushan] Weifang Med Univ, Dept Gastrointestinal &amp; Anal Dis Surg, Affiliated Hosp, Weifang, Peoples R China; [Lu, Xiao-Jie] Nanjing Med Univ, Dept Gen Surg, Liver Transplantat Ctr, Affiliated Hosp 1, Nanjing 210029, Jiangsu, Peoples R China</t>
  </si>
  <si>
    <t>Shanghai Jiao Tong University; Nanjing Medical University; Weifang Medical University; Nanjing Medical University</t>
  </si>
  <si>
    <t>Wang, YG (corresponding author), Shanghai Jiao Tong Univ, Shanghai Tongren Hosp, Dept Gastroenterol, Sch Med, Shanghai, Peoples R China.;Lu, XJ (corresponding author), Nanjing Med Univ, Dept Gen Surg, Liver Transplantat Ctr, Affiliated Hosp 1, Nanjing 210029, Jiangsu, Peoples R China.</t>
  </si>
  <si>
    <t>wyg0061@shtrhospital.com; 189@whu.edu.cn</t>
  </si>
  <si>
    <t>Xiao-Jie, Lu/H-4942-2019</t>
  </si>
  <si>
    <t>Xiao-Jie, Lu/0000-0002-1595-6414</t>
  </si>
  <si>
    <t>0730-2312</t>
  </si>
  <si>
    <t>1097-4644</t>
  </si>
  <si>
    <t>10.1002/jcb.26650</t>
  </si>
  <si>
    <t>WOS:000430667200044</t>
  </si>
  <si>
    <t>Ohyashiki, K; Umezu, T; Katagiri, S; Kobayashi, C; Azuma, K; Tauchi, T; Okabe, S; Fukuoka, Y; Ohyashiki, JH</t>
  </si>
  <si>
    <t>Ohyashiki, Kazuma; Umezu, Tomohiro; Katagiri, Seiichiro; Kobayashi, Chiaki; Azuma, Kenko; Tauchi, Tetsuzo; Okabe, Seiichi; Fukuoka, Yutaka; Ohyashiki, Junko H.</t>
  </si>
  <si>
    <t>Downregulation of Plasma miR-215 in Chronic Myeloid Leukemia Patients with Successful Discontinuation of Imatinib</t>
  </si>
  <si>
    <t>plasma miR-215; chronic myeloid leukemia; imatinib; discontinuation</t>
  </si>
  <si>
    <t>MINIMAL RESIDUAL DISEASE; RENAL-CELL CARCINOMA; MULTIPLE-MYELOMA; P53-INDUCIBLE MICRORNAS; EXPRESSION; MIR-192; PROLIFERATION; SIGNATURES; PROGNOSIS; BIOMARKER</t>
  </si>
  <si>
    <t>Approximately 40% of chronic myeloid leukemia (CML) patients who discontinue imatinib (IM) therapy maintain undetectable minimal residual disease (UMRD) for more than one year (stopping IM (STOP-IM)). To determine a possible biomarker for STOP-IM CML, we examined plasma miRNA expression in CML patients who were able to discontinue IM. We first screened candidate miRNAs in unselected STOP-IM patients, who had sustained UMRD after discontinuing IM for more than six months, in comparison with healthy volunteers, by using a TaqMan low-density array for plasma or exosomes. Exosomal miR-215 and plasma miR-215 were downregulated in the STOP-IM group compared to the control, indicating that the biological relevance of the plasma miR-215 level is equivalent to that of the exosomal level. Next, we performed real-time quantitative RT-PCR in 20 STOP-IM patients, 32 patients with UMRD on continued IM therapy (IM group) and 28 healthy volunteers. The plasma miRNA-215 level was significantly downregulated in the STOP-IM group (p &lt; 0.0001); we determined the cut-off level and divided the IM group patients into two groups according to whether the plasma miR-215 was downregulated or not. The IM group patients with a low plasma miR-215 level had a significantly higher total IM intake, compared to the patients with elevated miR-215 levels (p = 0.0229). Functional annotation of miR-215 target genes estimated by the Database for Annotation, Visualization and Integrated Discovery (DAVID) bioinformatic tools involved cell cycle, mitosis, DNA repair and cell cycle checkpoint. Our study suggests a possible role of miR-215 in successful IM discontinuation.</t>
  </si>
  <si>
    <t>[Ohyashiki, Kazuma; Katagiri, Seiichiro; Tauchi, Tetsuzo; Okabe, Seiichi] Tokyo Med Univ, Dept Hematol, Tokyo 1600023, Japan; [Ohyashiki, Kazuma; Umezu, Tomohiro; Kobayashi, Chiaki] Tokyo Med Univ, Dept Mol Sci, Tokyo 1600023, Japan; [Azuma, Kenko; Ohyashiki, Junko H.] Tokyo Med Univ, Inst Med Sci, Dept Mol Oncol, Tokyo 1600023, Japan; [Fukuoka, Yutaka] Kogakuin Univ, Dept Elect Engn, Tokyo 1638677, Japan</t>
  </si>
  <si>
    <t>Tokyo Medical University; Tokyo Medical University; Tokyo Medical University; Kogakuin University</t>
  </si>
  <si>
    <t>Ohyashiki, K (corresponding author), Tokyo Med Univ, Dept Hematol, Tokyo 1600023, Japan.;Ohyashiki, K (corresponding author), Tokyo Med Univ, Dept Mol Sci, Tokyo 1600023, Japan.</t>
  </si>
  <si>
    <t>ohyashik@rr.iij4u.or.jp; t_umezu@tokyo-med.ac.jp; patchsei@yahoo.co.jp; chiaki-k@tokyo-med.ac.jp; k_azuma@tokyo-med.ac.jp; tauchi@tokyo-med.ac.jp; okabe@tokyo-med.ac.jp; fukuoka@cc.kogakuin.ac.jp; junko@hh.iij4u.or.jp</t>
  </si>
  <si>
    <t>Fukuoka, Yutaka/H-9943-2019; Umezu, Tomohiro/AAK-9711-2020</t>
  </si>
  <si>
    <t>Fukuoka, Yutaka/0000-0001-6261-3783; Ohyashiki, Kazuma/0000-0003-0845-5758; Umezu, Tomohiro/0000-0002-0123-8921; Katagiri, Seiichiro/0000-0002-3031-9990</t>
  </si>
  <si>
    <t>10.3390/ijms17040570</t>
  </si>
  <si>
    <t>WOS:000374585300149</t>
  </si>
  <si>
    <t>Domenyuk, V; Zhong, ZY; Stark, A; Xiao, NQ; O'Neill, HA; Wei, XX; Wang, JE; Tinder, TT; Tonapi, S; Duncan, J; Hornung, T; Hunter, A; Miglarese, MR; Schorr, J; Halbert, DD; Quackenbush, J; Poste, G; Berry, DA; Mayer, G; Famulok, M; Spetzler, D</t>
  </si>
  <si>
    <t>Domenyuk, Valeriy; Zhong, Zhenyu; Stark, Adam; Xiao, Nianqing; O'Neill, Heather A.; Wei, Xixi; Wang, Jie; Tinder, Teresa T.; Tonapi, Sonal; Duncan, Janet; Hornung, Tassilo; Hunter, Andrew; Miglarese, Mark R.; Schorr, Joachim; Halbert, David D.; Quackenbush, John; Poste, George; Berry, Donald A.; Mayer, Guenter; Famulok, Michael; Spetzler, David</t>
  </si>
  <si>
    <t>Plasma Exosome Profiling of Cancer Patients by a Next Generation Systems Biology Approach</t>
  </si>
  <si>
    <t>STRANDED-DNA MOLECULES; EXTRACELLULAR VESICLES; BREAST-CANCER; CELL-SELEX; IN-VITRO; APTAMERS; SELECTION; MICROPARTICLES; MICROVESICLES; PROTEOMICS</t>
  </si>
  <si>
    <t>Technologies capable of characterizing the full breadth of cellular systems need to be able to measure millions of proteins, isoforms, and complexes simultaneously. We describe an approach that fulfils this criterion: Adaptive Dynamic Artificial Poly-ligand Targeting (ADAPT). ADAPT employs an enriched library of single-stranded oligodeoxynucleotides (ssODNs) to profile complex biological samples, thus achieving an unprecedented coverage of system-wide, native biomolecules. We used ADAPT as a highly specific profiling tool that distinguishes women with or without breast cancer based on circulating exosomes in their blood. To develop ADAPT, we enriched a library of similar to 10(11) ssODNs for those associating with exosomes from breast cancer patients or controls. The resulting 10(6) enriched ssODNs were then profiled against plasma from independent groups of healthy and breast cancer-positive women. ssODN-mediated affinity purification and mass spectrometry identified low-abundance exosome-associated proteins and protein complexes, some with known significance in both normal homeostasis and disease. Sequencing of the recovered ssODNs provided quantitative measures that were used to build highly accurate multi-analyte signatures for patient classification. Probing plasma from 500 subjects with a smaller subset of 2000 resynthesized ssODNs stratified healthy, breast biopsy-negative, and -positive women. An AUC of 0.73 was obtained when comparing healthy donors with biopsy-positive patients.</t>
  </si>
  <si>
    <t>[Domenyuk, Valeriy; Zhong, Zhenyu; Stark, Adam; Xiao, Nianqing; O'Neill, Heather A.; Wei, Xixi; Wang, Jie; Tinder, Teresa T.; Tonapi, Sonal; Duncan, Janet; Hornung, Tassilo; Hunter, Andrew; Miglarese, Mark R.; Schorr, Joachim; Halbert, David D.; Mayer, Guenter; Famulok, Michael; Spetzler, David] Caris Life Sci, 4610 South 44th Pl, Phoenix, AZ 85040 USA; [Quackenbush, John] Dana Farber Canc Inst, Dept Biostat &amp; Computat Biol, 450 Brookline Ave,Smith 822A, Boston, MA 02215 USA; [Quackenbush, John] Harvard Sch Publ Hlth, Dept Biostat, 655 Huntington Ave, Boston, MA USA; [Poste, George] Arizona State Univ, Complex Adapt Syst Initiat, 1475 N Scottsdale Rd,Suite 361, Scottsdale, AZ 85257 USA; [Berry, Donald A.] Univ Texas MD Anderson Canc Ctr, Dept Biostat, Houston, TX 77030 USA; [Mayer, Guenter; Famulok, Michael] Univ Bonn, Kekule Inst Organ Chem &amp; Biochem, LIMES Program Unit Chem Biol &amp; Med Chem, Gerhard Domagk Str 1, D-53121 Bonn, Germany; [Famulok, Michael] CAESAR, Chem Biol Max Planck Fellowship Grp, Ludwig Erhard Allee 2, D-53175 Bonn, Germany</t>
  </si>
  <si>
    <t>Harvard University; Dana-Farber Cancer Institute; Harvard University; Harvard T.H. Chan School of Public Health; Arizona State University; University of Texas System; UTMD Anderson Cancer Center; University of Bonn; Center of Advanced European Studies &amp; Research (CAESAR)</t>
  </si>
  <si>
    <t>Mayer, G; Famulok, M; Spetzler, D (corresponding author), Caris Life Sci, 4610 South 44th Pl, Phoenix, AZ 85040 USA.;Mayer, G; Famulok, M (corresponding author), Univ Bonn, Kekule Inst Organ Chem &amp; Biochem, LIMES Program Unit Chem Biol &amp; Med Chem, Gerhard Domagk Str 1, D-53121 Bonn, Germany.;Famulok, M (corresponding author), CAESAR, Chem Biol Max Planck Fellowship Grp, Ludwig Erhard Allee 2, D-53175 Bonn, Germany.</t>
  </si>
  <si>
    <t>gmayer@uni-bonn.de; m.famulok@uni-bonn.de; dspetzler@carisls.com</t>
  </si>
  <si>
    <t>Wang, Jie/GMX-2164-2022</t>
  </si>
  <si>
    <t>Quackenbush, John/0000-0002-2702-5879</t>
  </si>
  <si>
    <t>FEB 20</t>
  </si>
  <si>
    <t>10.1038/srep42741</t>
  </si>
  <si>
    <t>WOS:000394419800001</t>
  </si>
  <si>
    <t>Edhayan, G; Ohara, RA; Stinson, WA; Amin, MA; Isozaki, T; Ha, CM; Haines, GK; Morgan, R; Campbell, PL; Arbab, AS; Friday, SC; Fox, DA; Ruth, JH</t>
  </si>
  <si>
    <t>Edhayan, Gautam; Ohara, Ray A.; Stinson, W. Alex; Amin, M. Asif; Isozaki, Takeo; Ha, Christine M.; Haines, G. Kenneth, III; Morgan, Rachel; Campbell, Phillip L.; Arbab, Ali S.; Friday, Sean C.; Fox, David A.; Ruth, Jeffrey H.</t>
  </si>
  <si>
    <t>Inflammatory properties of inhibitor of DNA binding 1 secreted by synovial fibroblasts in rheumatoid arthritis</t>
  </si>
  <si>
    <t>ARTHRITIS RESEARCH &amp; THERAPY</t>
  </si>
  <si>
    <t>Inhibitor of DNA binding-1 protein (Id1); Inflammation; Rheumatoid arthritis; Fibroblasts; Angiogenesis</t>
  </si>
  <si>
    <t>TRANSCRIPTIONAL REPRESSOR; EPITHELIAL-CELLS; ID PROTEINS; EXPRESSION; ANGIOGENESIS; THROMBOSPONDIN-1; GENE; VASCULARIZATION; PROGRESSION; INDUCTION</t>
  </si>
  <si>
    <t>Background: Inhibitor of DNA binding 1 (Id1) is a nuclear protein containing a basic helix-loop-helix (bHLH) domain that regulates cell growth by selective binding and prevention of gene transcription. Sources of Id1 production in rheumatoid arthritis synovial tissue (RA ST) and its range of functional effects in RA remain to be clarified. Methods: We analyzed Id1 produced from synovial fibroblasts and endothelial cells (ECs) with histology and real-time polymerase chain reaction (RT-PCR). Fibroblast supernatants subjected to differential centrifugation to isolate and purify exosomes were measured for Id1 by enzyme-linked immunosorbent assay (ELISA). Western blotting of Id1-stimulated ECs was performed to determine the kinetics of intracellular protein phosphorylation. EC intracellular signaling pathways induced by Id1 were subsequently targeted with silencing RNA (siRNA) for angiogenesis inhibition. Results: By PCR and histologic analysis, we found that the primary source of Id1 in STs is from activated fibroblasts that correlate with inflammatory scores in human RA ST and in joints from K/BxN serum-induced mice. Normal (NL) and RA synovial fibroblasts increase Id1 production with stimulation by transforming growth factor beta (TGF-beta). Most of the Id1 released by RA synovial fibroblasts is contained within exosomes. Endothelial progenitor cells (EPCs) and human dermal microvascular ECs (HMVECs) activate the Jnk signaling pathway in response to Id1, and Jnk siRNA reverses Id1-induced HMVEC vessel formation in Matrigel plugs in vivo. Conclusions: Id1 is a pleotropic molecule affecting angiogenesis, vasculogenesis, and fibrosis. Our data shows that Id1 is not only an important nuclear protein, but also can be released from fibroblasts via exosomes. The ability of extracellular Id1 to activate signaling pathways expands the role of Id1 in the orchestration of tissue inflammation.</t>
  </si>
  <si>
    <t>[Edhayan, Gautam; Ohara, Ray A.; Stinson, W. Alex; Amin, M. Asif; Isozaki, Takeo; Ha, Christine M.; Morgan, Rachel; Campbell, Phillip L.; Friday, Sean C.; Fox, David A.; Ruth, Jeffrey H.] Univ Michigan, Dept Internal Med, Sch Med, Div Rheumatol, 109 Zina Pitcher Dr,4023 BSRB, Ann Arbor, MI 48109 USA; [Edhayan, Gautam; Ohara, Ray A.; Stinson, W. Alex; Amin, M. Asif; Isozaki, Takeo; Ha, Christine M.; Morgan, Rachel; Campbell, Phillip L.; Friday, Sean C.; Fox, David A.; Ruth, Jeffrey H.] Univ Michigan, Clin Autoimmun Ctr Excellence, Sch Med, 109 Zina Pitcher Dr,4023 BSRB, Ann Arbor, MI 48109 USA; [Haines, G. Kenneth, III] Mt Sinai Hlth Syst, New York, NY 10019 USA; [Arbab, Ali S.] Henry Ford Hosp, Detroit, MI 48202 USA</t>
  </si>
  <si>
    <t>University of Michigan System; University of Michigan; University of Michigan System; University of Michigan; Icahn School of Medicine at Mount Sinai; Henry Ford Hospital</t>
  </si>
  <si>
    <t>Ruth, JH (corresponding author), Univ Michigan, Dept Internal Med, Sch Med, Div Rheumatol, 109 Zina Pitcher Dr,4023 BSRB, Ann Arbor, MI 48109 USA.;Ruth, JH (corresponding author), Univ Michigan, Clin Autoimmun Ctr Excellence, Sch Med, 109 Zina Pitcher Dr,4023 BSRB, Ann Arbor, MI 48109 USA.</t>
  </si>
  <si>
    <t>jhruth@umich.edu</t>
  </si>
  <si>
    <t>Arbab, Ali/AAS-1933-2020</t>
  </si>
  <si>
    <t>Ohara, Ray/0000-0001-7897-3169</t>
  </si>
  <si>
    <t>1478-6354</t>
  </si>
  <si>
    <t>1478-6362</t>
  </si>
  <si>
    <t>APR 12</t>
  </si>
  <si>
    <t>10.1186/s13075-016-0984-3</t>
  </si>
  <si>
    <t>WOS:000374731800002</t>
  </si>
  <si>
    <t>Chahar, HS; Corsello, T; Kudlicki, AS; Komaravelli, N; Casola, A</t>
  </si>
  <si>
    <t>Chahar, Harendra Singh; Corsello, Tiziana; Kudlicki, Andrzej S.; Komaravelli, Narayana; Casola, Antonella</t>
  </si>
  <si>
    <t>Respiratory Syncytial Virus Infection Changes Cargo Composition of Exosome Released from Airway Epithelial Cells</t>
  </si>
  <si>
    <t>POTENTIAL REGULATORY FUNCTIONS; ASCITES-DERIVED EXOSOMES; DENDRITIC CELLS; NONCODING RNAS; RAT RETICULOCYTES; VIRAL-INFECTION; PLASMA-MEMBRANE; YOUNG-CHILDREN; MESSENGER-RNA; IN-VITRO</t>
  </si>
  <si>
    <t>Exosomes are microvesicles known to carry biologically active molecules, including RNA, DNA and proteins. Viral infections can induce profound changes in exosome composition, and exosomes have been implicated in viral transmission and pathogenesis. No information is current available regarding exosome composition and function during infection with Respiratory Syncytial Virus (RSV), the most important cause of lower respiratory tract infections in children. In this study, we characterized exosomes released from RSV-infected lung carcinoma-derived A549 cells. RNA deep sequencing revealed that RSV exosomes contain a diverse range of RNA species like messenger and ribosomal RNA fragments, as well as small noncoding RNAs, in a proportion different from exosomes isolated from mock-infected cells. We observed that both RNA and protein signatures of RSV were present in exosomes, however, they were not able to establish productive infection in uninfected cells. Exosomes isolated from RSV-infected cells were able to activate innate immune response by inducing cytokine and chemokine release from human monocytes and airway epithelial cells. These data suggest that exosomes may play an important role in pathogenesis or protection against disease, therefore understating their role in RSV infection may open new avenues for target identification and development of novel therapeutics.</t>
  </si>
  <si>
    <t>[Chahar, Harendra Singh; Corsello, Tiziana; Komaravelli, Narayana; Casola, Antonella] Univ Texas Med Branch, Dept Pediat, Galveston, TX 77555 USA; [Kudlicki, Andrzej S.] Univ Texas Med Branch, Dept Biochem &amp; Mol Biol, Galveston, TX 77555 USA; [Casola, Antonella] Univ Texas Med Branch, Sealy Ctr Vaccine Dev, Galveston, TX 77555 USA; [Casola, Antonella] Univ Texas Med Branch, Sealy Ctr Mol Med, Galveston, TX 77555 USA</t>
  </si>
  <si>
    <t>University of Texas System; University of Texas Medical Branch Galveston; University of Texas System; University of Texas Medical Branch Galveston; University of Texas System; University of Texas Medical Branch Galveston; University of Texas System; University of Texas Medical Branch Galveston</t>
  </si>
  <si>
    <t>Casola, A (corresponding author), Univ Texas Med Branch, Dept Pediat, Galveston, TX 77555 USA.;Casola, A (corresponding author), Univ Texas Med Branch, Sealy Ctr Vaccine Dev, Galveston, TX 77555 USA.;Casola, A (corresponding author), Univ Texas Med Branch, Sealy Ctr Mol Med, Galveston, TX 77555 USA.</t>
  </si>
  <si>
    <t>ancasola@utmb.edu</t>
  </si>
  <si>
    <t>Kudlicki, Andrzej/AAG-8537-2019</t>
  </si>
  <si>
    <t>Kudlicki, Andrzej/0000-0001-8158-9600</t>
  </si>
  <si>
    <t>JAN 10</t>
  </si>
  <si>
    <t>10.1038/s41598-017-18672-5</t>
  </si>
  <si>
    <t>WOS:000419673100023</t>
  </si>
  <si>
    <t>Li, B; Pan, WL; Liu, CC; Guo, JY; Shen, JL; Feng, JJ; Luo, TT; Situ, B; Zhang, Y; An, TX; Xu, CZ; Zheng, WC; Zheng, L</t>
  </si>
  <si>
    <t>Li, Bo; Pan, Weilun; Liu, Chunchen; Guo, Jingyun; Shen, Jianlei; Feng, Junjie; Luo, Tingting; Situ, Bo; Zhang, Ye; An, Taixue; Xu, Chunzuan; Zheng, Wancheng; Zheng, Lei</t>
  </si>
  <si>
    <t>Homogenous Magneto-Fluorescent Nanosensor for Tumor-Derived Exosome Isolation and Analysis</t>
  </si>
  <si>
    <t>point-of-care nanosensor; tumor-derived exosomes; AIEgens; cancer diagnostics</t>
  </si>
  <si>
    <t>AGGREGATION-INDUCED EMISSION; CELL-CULTURE MEDIUM; LABEL-FREE; BIOGENESIS; BIOSENSORS; SECRETION</t>
  </si>
  <si>
    <t>Tumor-derived exosomes carrying unique surface proteins have shown great promise as novel biomarkers for liquid biopsies. However, point-of-care analysis for tumor-derived exosomes in the blood with low-cost and easy processing is still challenging. Herein, we develop an integrated approach, homogenous magneto-fluorescent exosome (hMFEX) nanosensor, for rapid and on-site tumor-derived exosomes analysis. Tumor-derived exosomes are captured immunomagnetically, which further initiates the aptamer-triggered assembly of DNA three-way junctions in homogenous solution containing aggregation-induced emission luminogens and graphene oxide, resulting in an amplified fluorescence signal. By integrating magnetic isolation and enhanced fluorescence measurement, the hMFEX nanosensor detects tumor-derived exosomes in the dynamic range spanning 5 orders of magnitude with high specificity, and the limit of detection is 6.56 x 10(4) particles/mu L. Analyzing tumor-derived exosomes in limited volume plasma from breast cancer patients demonstrates the excellent clinical diagnostic efficacy of the hMFEX nanosensor. This study provides new insights into the point-of-care testing of tumor-derived exosomes for cancer diagnostics.</t>
  </si>
  <si>
    <t>[Li, Bo; Pan, Weilun; Liu, Chunchen; Feng, Junjie; Luo, Tingting; Situ, Bo; Zhang, Ye; An, Taixue; Zheng, Lei] Southern Med Univ, Nanfang Hosp, Dept Lab Med, Guangzhou 510515, Peoples R China; [Li, Bo; Pan, Weilun; Liu, Chunchen; Feng, Junjie; Luo, Tingting; Situ, Bo; Zhang, Ye; An, Taixue; Zheng, Lei] Southern Med Univ, Nanfang Hosp, Guangdong Engn &amp; Technol Res Ctr Rapid Diagnost B, Guangzhou 510515, Peoples R China; [Guo, Jingyun] Southern Med Univ, Nanfang Hosp, Breast Ctr, Dept Gen Surg, Guangzhou 510515, Guangdong, Peoples R China; [Shen, Jianlei] Shanghai Jiao Tong Univ, Sch Chem &amp; Chem Engn, Shanghai 200240, Peoples R China; [Xu, Chunzuan; Zheng, Wancheng] Southern Med Univ, Sch Clin Med 1, Guangzhou 510515, Peoples R China</t>
  </si>
  <si>
    <t>Southern Medical University - China; Southern Medical University - China; Southern Medical University - China; Shanghai Jiao Tong University; Southern Medical University - China</t>
  </si>
  <si>
    <t>Zheng, L (corresponding author), Southern Med Univ, Nanfang Hosp, Dept Lab Med, Guangzhou 510515, Peoples R China.;Zheng, L (corresponding author), Southern Med Univ, Nanfang Hosp, Guangdong Engn &amp; Technol Res Ctr Rapid Diagnost B, Guangzhou 510515, Peoples R China.</t>
  </si>
  <si>
    <t>nfyyzhenglei@sinu.edu.cn</t>
  </si>
  <si>
    <t>Li, Bo/0000-0002-6129-321X</t>
  </si>
  <si>
    <t>JUL 24</t>
  </si>
  <si>
    <t>10.1021/acssensors.0c00513</t>
  </si>
  <si>
    <t>WOS:000573554900026</t>
  </si>
  <si>
    <t>Chen, Y; Zhai, LY; Zhang, LM; Ma, XS; Liu, Z; Li, MM; Chen, JX; Duan, WJ</t>
  </si>
  <si>
    <t>Chen, Yun; Zhai, Ling-Yan; Zhang, Li-Min; Ma, Xiao-Shan; Liu, Zheng; Li, Min-Min; Chen, Jin-Xiang; Duan, Wen-Jun</t>
  </si>
  <si>
    <t>Breast cancer plasma biopsy by in situ determination of exosomal microRNA-1246 with a molecular beacon</t>
  </si>
  <si>
    <t>SERUM RIBONUCLEASE; LIQUID BIOPSIES; DNA; DIAGNOSIS</t>
  </si>
  <si>
    <t>Liquid biopsy is becoming an innovative tool in precision oncology owing to its noninvasive identification of biomarkers circulating in the body fluid at various time points for continuous and real-time analysis of disease progression. MicroRNAs in blood exosomes are identified as a new promising class of potential biomarkers for cancer diagnostics and prognostics. Conventional detection of blood exosomal microRNAs need multiple-step, complicated, costly, and time-consuming sample preparation of exosomes isolation and RNA extract, which affect the accuracy and reproducibility of analytical results. In this work, we set up an in situ quantitative analysis of human plasma exosomal miR-1246 by a probe of 2 '-O-methyl and phosphorothioate modified molecular beacon. The probe has outstanding nuclease resistance in highly active RNase A/T1/I, which makes it stable for direct application in blood samples. With rapid rupture of exosomes membrane by Triton X-100, the probe can enter exosomes to specifically target miR-1246 exhibiting quantitative fluorescent signals. Using the output signals as a diagnostic marker, we differentiated 33 breast cancer patients from 37 healthy controls with 97.30% sensitivity and 93.94% specificity at the best cutoff. The blood biopsy is simple without extracting plasma exosomes and their nucleic acids content, time-saving in about 2 h of total analysis process, and microvolumes needed for plasma sample, suggesting its good potential to clinical application.</t>
  </si>
  <si>
    <t>[Chen, Yun; Zhang, Li-Min; Ma, Xiao-Shan; Liu, Zheng; Chen, Jin-Xiang; Duan, Wen-Jun] Southern Med Univ, Sch Pharmaceut Sci, Guangdong Prov Key Lab New Drug Screening, Guangzhou 510515, Peoples R China; [Zhai, Ling-Yan] Shenzhen Baoan Shiyan Peoples Hosp, Shenzhen 518108, Peoples R China; [Li, Min-Min] Jinan Univ, Ctr Clin Lab, Affiliated Hosp 1, Guangzhou 510630, Peoples R China</t>
  </si>
  <si>
    <t>Southern Medical University - China; Jinan University</t>
  </si>
  <si>
    <t>Chen, JX; Duan, WJ (corresponding author), Southern Med Univ, Sch Pharmaceut Sci, Guangdong Prov Key Lab New Drug Screening, Guangzhou 510515, Peoples R China.</t>
  </si>
  <si>
    <t>jxchen@smu.edu.cn; wjduan@smu.edu.cn</t>
  </si>
  <si>
    <t>APR 7</t>
  </si>
  <si>
    <t>10.1039/d0an02224a</t>
  </si>
  <si>
    <t>WOS:000637210700017</t>
  </si>
  <si>
    <t>Cui, J; Liu, N; Chang, ZH; Gao, YS; Bao, ML; Xie, YB; Xu, WQ; Liu, XL; Jiang, SY; Liu, Y; Shi, R; Xie, W; Jia, X; Shi, JH; Ren, CH; Gong, KR; Zhang, CY; Bade, RG; Shao, G; Ji, XM</t>
  </si>
  <si>
    <t>Cui, Junhe; Liu, Na; Chang, Zhehan; Gao, Yongsheng; Bao, Mulan; Xie, Yabin; Xu, Wenqiang; Liu, Xiaolei; Jiang, Shuyuan; Liu, You; Shi, Rui; Xie, Wei; Jia, Xiaoe; Shi, Jinghua; Ren, Changhong; Gong, Kerui; Zhang, Chunyang; Bade, Rengui; Shao, Guo; Ji, Xunming</t>
  </si>
  <si>
    <t>Exosomal MicroRNA-126 from RIPC Serum Is Involved in Hypoxia Tolerance in SH-SY5Y Cells by Downregulating DNMT3B</t>
  </si>
  <si>
    <t>FOCAL CEREBRAL-ISCHEMIA; FUNCTIONAL RECOVERY; STROKE; EXPRESSION; COMMUNICATION; CONTRIBUTES; MIR-126; NEUROGENESIS; METHYLATION; MECHANISM</t>
  </si>
  <si>
    <t>Ischemic tolerance in the brain can be induced by transient limb ischemia, and this phenomenon is termed remote ischemic preconditioning (RIPC). It still remains elusive how this transfer of tolerance occurs. Exosomes can cross the blood-brain barrier, and some molecules may transfer neuroprotective signals from the periphery to the brain. Serum miRNA-126 is associated with ischemic stroke, and exosomal miRNA-126 has shown protective effects against acute myocardial infarction. Therefore, this study aims to explore whether exosomal miRNA-126 from RIPC serum can play a similar neuroprotective role. Exosomes were isolated from the venous serum of four healthy young male subjects, both before and after RIPC. Exosomal miRNA-126 was measured by real-time PCR. The miRNA-126 target sequence was predicted by bioinformatics software. SH-SY5Y neuronal cells were incubated with exosomes, and the cell cycle was analyzed by flow cytometry. The expression and activity of DNA methyltransferase (DNMT) 3B, a potential target gene of miRNA-126, were examined in SH-SY5Y cells. The cell viability of SH-SY5Y cells exposed to oxygen-glucose deprivation (OGD) was also investigated. To confirm the association between miRNA-126 and DNMT3B, we overexpressed miRNA-126 in SH-SY5Y cells using lentiviral transfection. miRNA-126 expression was upregulated in RIPC exosomes, and bioinformatics prediction showed that miRNA-126 could bind with DNMT3B. DNMT levels and DNMT3B activity were downregulated in SH-SY5Y cells incubated with RIPC exosomes. After overexpression of miRNA-126 in SH-SY5Y cells, global methylation levels and DNMT3B gene expression were downregulated in these cells, consistent with the bioinformatics predictions. RIPC exosomes can affect the cell cycle and increase OGD tolerance in SH-SY5Y cells. RIPC seems to have neuroprotective effects by downregulating the expression of DNMTs in neural cells through the upregulation of serum exosomal miRNA-126.</t>
  </si>
  <si>
    <t>[Cui, Junhe; Liu, Na; Chang, Zhehan; Gao, Yongsheng; Bao, Mulan; Xie, Yabin; Xu, Wenqiang; Liu, Xiaolei; Jiang, Shuyuan; Liu, You; Shi, Rui; Xie, Wei; Jia, Xiaoe; Shi, Jinghua; Bade, Rengui; Shao, Guo] Baotou Med Coll, Inner Mongolia Key Lab Hypox Translat Med, Baotou, Inner Mongolia, Peoples R China; [Cui, Junhe; Liu, Na; Chang, Zhehan; Gao, Yongsheng; Bao, Mulan; Xie, Yabin; Xu, Wenqiang; Liu, Xiaolei; Jiang, Shuyuan; Liu, You; Shi, Rui; Xie, Wei; Jia, Xiaoe; Shi, Jinghua; Bade, Rengui; Shao, Guo] Baotou Med Coll, Basic Med Coll, Biomed Res Ctr, Baotou, Inner Mongolia, Peoples R China; [Cui, Junhe; Liu, Na; Chang, Zhehan; Gao, Yongsheng; Bao, Mulan; Xie, Yabin; Xu, Wenqiang; Liu, Xiaolei; Jiang, Shuyuan; Liu, You; Shi, Rui; Xie, Wei; Jia, Xiaoe; Shi, Jinghua; Bade, Rengui; Shao, Guo] Baotou Med Coll, Neurosci Inst, Baotou, Inner Mongolia, Peoples R China; [Cui, Junhe; Liu, Na; Chang, Zhehan; Xie, Yabin; Shi, Jinghua; Ren, Changhong; Shao, Guo; Ji, Xunming] Capital Med Univ, Xuanwu Hosp, Beijing Key Lab Hypox Conditioning Translat Med, Beijing, Peoples R China; [Gong, Kerui] Univ Calif San Francisco, Dept Oral &amp; Maxillofacial Surg, San Francisco, CA USA; [Zhang, Chunyang; Shao, Guo] Baotou Med Coll, Dept Neurosurg, Affiliated Hosp 1, Baotou, Inner Mongolia, Peoples R China</t>
  </si>
  <si>
    <t>Baotou Medical College; Baotou Medical College; Baotou Medical College; Capital Medical University; University of California System; University of California San Francisco; Baotou Medical College</t>
  </si>
  <si>
    <t>Bade, RG; Shao, G (corresponding author), Baotou Med Coll, Inner Mongolia Key Lab Hypox Translat Med, Baotou, Inner Mongolia, Peoples R China.;Ji, XM (corresponding author), Capital Med Univ, Xuanwu Hosp, Beijing Key Lab Hypox Conditioning Translat Med, Beijing, Peoples R China.</t>
  </si>
  <si>
    <t>baard415@btmc.edu.cn; shao.guo.china@gmail.com; jixm70@ccmu.edu.cn</t>
  </si>
  <si>
    <t>Ji, Xunming/AAN-3370-2021</t>
  </si>
  <si>
    <t>Ji, Xunming/0000-0003-0293-2744</t>
  </si>
  <si>
    <t>10.1016/j.omtn.2020.04.008</t>
  </si>
  <si>
    <t>WOS:000538968000054</t>
  </si>
  <si>
    <t>Abdouh, M; Zhou, SF; Arena, V; Arena, M; Lazaris, A; Onerheim, R; Metrakos, P; Arena, GO</t>
  </si>
  <si>
    <t>Abdouh, Mohamed; Zhou, Shufeng; Arena, Vincenzo; Arena, Manuel; Lazaris, Anthoula; Onerheim, Ronald; Metrakos, Peter; Arena, Goffredo Orazio</t>
  </si>
  <si>
    <t>Transfer of malignant trait to immortalized human cells following exposure to human cancer serum</t>
  </si>
  <si>
    <t>Human cancer serum; Transformation; Metastasis; HEK293</t>
  </si>
  <si>
    <t>EXOSOMES; TRANSFORMATION; PLASMA; GLIOBLASTOMA; FIBROBLASTS; MICRORNAS; TRANSPORT; ONCOGENE; VESICLES; DNA</t>
  </si>
  <si>
    <t>Background: Human cancer cells can transfer signaling molecules to neighboring and distant cells predisposing them to malignant transformation. This process might contribute to tumor progression and invasion through delivery of oncogenes or inhibitors of tumor suppressor genes, derived from the primary tumor cells, to susceptible target cells. The oncogenic potential of human cancer serum has been described in immortalized mouse fibroblasts but has not been shown yet in human cells. The objective of this study was to determine whether metastatic cancer patient sera have the ability to induce neoplastic transformation in immortalized human embryonic kidney (HEK293) cells, human embryonic stem cells (hESCs), human mesenchymal stem cells (hMSCs) and human adult liver fibroblasts (hALFs). Methods: Early passage HEK293 cells, hESCs, hMSCs and hALFs were exposed to cancer patient serum, or cancer cells-derived condition medium for 3 weeks. Treated cells were analyzed for cell proliferation and transformation both in vitro and in vivo. Results: HEK293 cells exposed to cancer serum increased their proliferative capability and displayed characteristics of transformed cells, as evaluated by in vitro anchorage-independent growth assay and in vivo tumorigenesis in immunodeficient mice. The same phenotypes were acquired when these cells were cultured in cancer cell line conditioned medium suggesting that the putative oncogenic factors present in the serum might derive directly from the primary tumor. Histopathological analyses revealed that the tumors arising from cancer patient serum and conditioned medium-treated HEK293 cells were poorly differentiated and displayed a high proliferative index. In contrast, neither of these phenomena was observed in treated hMSCs and hALFs. Intriguingly enough, hESC-treated cells maintained their self-renewal and differentiation potentials, as shown by in vitro sphere formation assay and in vivo development of teratomas in immunodeficient mice. Conclusion: Our results indicate that cancer patients serum is able to induce oncogenic transformation of HEK293 cells and maintain the self-renewal of hESCs. To our knowledge, this is the first study that demonstrates the oncogenic transformation potential of cancer patient serum on human cells. In depth characterization of this process and the molecular pathways involved are needed to confirm its validity and determine its potential use in cancer therapy.</t>
  </si>
  <si>
    <t>[Abdouh, Mohamed; Zhou, Shufeng; Lazaris, Anthoula; Metrakos, Peter; Arena, Goffredo Orazio] McGill Univ, Royal Victoria Hosp, Surg Res Labs, Montreal, PQ H3A 1A1, Canada; [Arena, Vincenzo] Santo Bambino Hosp, Dept Obstet &amp; Gynecol, Catania, Italy; [Arena, Manuel] Univ Catania, Dept Surg Sci Organ Transplantat &amp; Adv Technol, Catania, Italy; [Onerheim, Ronald] McGill Univ, St Marys Hosp, Dept Pathol, Montreal, PQ H3T 1M5, Canada; [Metrakos, Peter] McGill Univ, Hlth Ctr Multiorgan, Transplant Program, Montreal, PQ H3A 1A1, Canada; [Metrakos, Peter] Royal Victoria Hosp, Montreal, PQ H3A 1A1, Canada; [Arena, Goffredo Orazio] McGill Univ, St Mary Hosp, Dept Surg, Montreal, PQ H3T 1M5, Canada</t>
  </si>
  <si>
    <t>McGill University; Royal Victoria Hospital; University of Catania; McGill University; McGill University; McGill University; Royal Victoria Hospital; McGill University</t>
  </si>
  <si>
    <t>Arena, GO (corresponding author), McGill Univ, Royal Victoria Hosp, Surg Res Labs, 687 Pine Ave W, Montreal, PQ H3A 1A1, Canada.</t>
  </si>
  <si>
    <t>arena, goffredo/AAR-5283-2020; metrakos, peter/D-3726-2013</t>
  </si>
  <si>
    <t>Zhou, Shufeng/0000-0003-2715-9823; Abdouh, Mohamed/0000-0003-0702-9335; Arena, Goffredo/0000-0002-5293-2972</t>
  </si>
  <si>
    <t>10.1186/s13046-014-0086-5</t>
  </si>
  <si>
    <t>WOS:000344704300001</t>
  </si>
  <si>
    <t>Bernard, V; Kim, DU; San Lucas, FA; Castillo, J; Allenson, K; Mulu, FC; Stephens, BM; Huang, J; Semaan, A; Guerrero, PA; Kamyabi, N; Zhao, J; Hurd, MW; Koay, EJ; Taniguchi, CM; Herman, JM; Javle, M; Wolff, R; Katz, M; Varadhachary, G; Maitra, A; Alvarez, HA</t>
  </si>
  <si>
    <t>Bernard, Vincent; Kim, Dong U.; San Lucas, F. Anthony; Castillo, Jonathan; Allenson, Kelvin; Mulu, Feven C.; Stephens, Bret M.; Huang, Jonathan; Semaan, Alexander; Guerrero, Paola A.; Kamyabi, Nabiollah; Zhao, Jun; Hurd, Mark W.; Koay, Eugene J.; Taniguchi, Cullen M.; Herman, Joseph M.; Javle, Milind; Wolff, Robert; Katz, Matthew; Varadhachary, Gauri; Maitra, Anirban; Alvarez, Hector A.</t>
  </si>
  <si>
    <t>Circulating Nucleic Acids Are Associated With Outcomes of Patients With Pancreatic Cancer</t>
  </si>
  <si>
    <t>PDAC; Extracellular Vesicles; Biomarkers; Tumor Monitoring</t>
  </si>
  <si>
    <t>TUMOR DNA; GENOMIC ALTERATIONS; LIQUID BIOPSIES; KRAS; MUTATIONS; PLASMA; BIOMARKER; EXOSOMES; TISSUE; CTDNA</t>
  </si>
  <si>
    <t>BACKGROUND &amp; AIMS: We aimed to investigate the clinical utility of circulating tumor cell DNA (ctDNA) and exosome DNA (exoDNA) in pancreatic cancer. METHODS: We collected liquid biopsy samples from 194 patients undergoing treatment for localized or metastatic pancreatic adenocarcinoma from April 7, 2015, through October 13, 2017 (425 blood samples collected before [baseline] and during therapy). Additional liquid biopsy samples were collected from 37 disease control individuals. Droplet digital polymerase chain reaction was used to determine KRAS mutant allele fraction (MAF) from ctDNA and exoDNA purified from plasma. For the longitudinal analysis, we analyzed exoDNA and ctDNA in 123 serial blood samples from 34 patients. We performed analysis including Cox regression, Fisher exact test, and Bayesian inference to associate KRAS MAFs in exoDNA and ctDNA with prognostic and predictive outcomes. RESULTS: In the 34 patients with potentially resectable tumors, an increase in exoDNA level after neoadjuvant therapy was significantly associated with disease progression (P=.003), whereas ctDNA did not show correlations with outcomes. Concordance rates of KRAS mutations present in surgically resected tissue and detected in liquid biopsy samples were greater than 95%. On univariate analysis, patients with metastases and detectable ctDNA at baseline status had significantly shorter times of progression-free survival (PFS) (hazard ratio [HR] for death, 1.8; 95% CI, 1.1-3.0; P=.019), and overall survival (OS) (HR, 2.8; 95% CI, 1.4-5.7; P=.0045) compared with patients without detectable ctDNA. On multivariate analysis, MAFs -5% in exoDNA were a significant predictor of PFS (HR, 2.28; 95% CI, 1.18-4.40; P=.014) and OS (HR, 3.46; 95% CI, 1.408.50; P=.007). A multianalyte approach showed detection of both ctDNA and exoDNA MAFs -5% at baseline status to be a significant predictor of OS (HR, 7.73, 95% CI, 2.61-22.91, P=.00002) on multivariate analysis. In the longitudinal analysis, an MAF peak above 1% in exoDNA was significantly associated with radiologic progression (P=.0003).</t>
  </si>
  <si>
    <t>[Bernard, Vincent; Kim, Dong U.; Castillo, Jonathan; Allenson, Kelvin; Mulu, Feven C.; Stephens, Bret M.; Huang, Jonathan; Semaan, Alexander; Guerrero, Paola A.; Kamyabi, Nabiollah; Zhao, Jun; Maitra, Anirban] Univ Texas MD Anderson Canc Ctr, Dept Pathol, Houston, TX 77030 USA; [Bernard, Vincent] Univ Texas MD Anderson Canc Ctr, UTHlth Grad Sch Biomed Sci, Houston, TX 77030 USA; [Kim, Dong U.] Pusan Natl Univ, Pusan Natl Univ Hosp, Sch Med, Dept Internal Med,Biomed Res Inst, Busan, South Korea; [San Lucas, F. Anthony] Univ Texas MD Anderson Canc Ctr, Dept Epidemiol, Houston, TX 77030 USA; [Allenson, Kelvin; Katz, Matthew] Univ Texas MD Anderson Canc Ctr, Dept Surg Oncol, Houston, TX 77030 USA; [Hurd, Mark W.; Maitra, Anirban] Univ Texas MD Anderson Canc Ctr, Sheikh Ahmed Pancreat Canc Res Ctr, Houston, TX 77030 USA; [Koay, Eugene J.; Taniguchi, Cullen M.; Herman, Joseph M.] Univ Texas MD Anderson Canc Ctr, Dept Radiat Oncol, Houston, TX 77030 USA; [Javle, Milind; Wolff, Robert; Varadhachary, Gauri] Univ Texas MD Anderson Canc Ctr, Dept Gastrointestinal Med Oncol, Houston, TX 77030 USA; [Alvarez, Hector A.] Univ Texas MD Anderson Canc Ctr, Dept Hematopathol, Houston, TX 77030 USA</t>
  </si>
  <si>
    <t>University of Texas System; UTMD Anderson Cancer Center; University of Texas System; UTMD Anderson Cancer Center; Pusan National University; Pusan National University Hospital; University of Texas System; UTMD Anderson Cancer Center; University of Texas System; UTMD Anderson Cancer Center; University of Texas System; UTMD Anderson Cancer Center; University of Texas System; UTMD Anderson Cancer Center; University of Texas System; UTMD Anderson Cancer Center; University of Texas System; UTMD Anderson Cancer Center</t>
  </si>
  <si>
    <t>Alvarez, HA (corresponding author), 6565 MD Anderson Blvd Z3-3012, Houston, TX 77030 USA.</t>
  </si>
  <si>
    <t>Haalvarez@mdanderson.org</t>
  </si>
  <si>
    <t>Huang, Jonathan/0000-0002-2867-3384; Bernard, Vincent/0000-0003-1555-608X; Semaan, Alexander/0000-0001-5424-3217; Taniguchi, Cullen/0000-0002-8052-3316</t>
  </si>
  <si>
    <t>10.1053/j.gastro.2018.09.022</t>
  </si>
  <si>
    <t>WOS:000453401000027</t>
  </si>
  <si>
    <t>Helms, J; Clere-Jehl, R; Bianchini, E; Le Borgne, P; Burban, M; Zobairi, F; Diehl, JL; Grunebaum, L; Toti, F; Meziani, F; Borgel, D</t>
  </si>
  <si>
    <t>Helms, Julie; Clere-Jehl, Raphael; Bianchini, Elsa; Le Borgne, Pierrick; Burban, Melanie; Zobairi, Fatiha; Diehl, Jean-Luc; Grunebaum, Lelia; Toti, Florence; Meziani, Ferhat; Borgel, Delphine</t>
  </si>
  <si>
    <t>Thrombomodulin favors leukocyte microvesicle fibrinolytic activity, reduces NETosis and prevents septic shock-induced coagulopathy in rats</t>
  </si>
  <si>
    <t>ANNALS OF INTENSIVE CARE</t>
  </si>
  <si>
    <t>DIC; Immunothrombosis; Microvesicles; NETosis; Septic shock</t>
  </si>
  <si>
    <t>NEUTROPHIL EXTRACELLULAR TRAPS; INTRAVASCULAR COAGULATION; SEVERE SEPSIS; THROMBOSIS; DNA; ANTITHROMBIN; INFLAMMATION; DYSFUNCTION; ACTIVATION; PLATELETS</t>
  </si>
  <si>
    <t>Background: Septic shock-induced disseminated intravascular coagulation is responsible for increased occurrence of multiple organ dysfunction and mortality. Immunothrombosis-induced coagulopathy may contribute to hypercoagulability. We aimed at determining whether recombinant human thrombomodulin (rhTM) could control exaggerated immunothrombosis by studying procoagulant responses, fibrinolysis activity borne by microvesicles (MVs) and NETosis in septic shock. Methods: In a septic shock model after a cecal ligation and puncture-induced peritonitis (H0), rats were treated with rhTM or a placebo at H18, resuscitated and monitored during 4 h. At H22, blood was sampled to perform coagulation tests, to characterize MVs and to detect neutrophils extracellular traps (NETs). Lungs were stained with hematoxylin-eosin for inflammatory injury assessment. Results: Coagulopathy was attenuated in rhTM-treated septic rats compared to placebo-treated rats, as attested by a significant decrease in procoagulant annexin A5(+)-MVs and plasma procoagulant activity of phospholipids and by a significant increase in antithrombin levels (84 +/- 8 vs. 64 +/- 6%, p &lt; 0.05), platelet count (582 +/- 157 vs. 319 +/- 91 x 10(9)/L, p &lt; 0.05) and fibrinolysis activity borne by MVs (2.9 +/- 0.26 vs. 0.48 +/- 0.29 U/mL urokinase, p &lt; 0.05). Lung histological injury score showed significantly less leukocyte infiltration. Decreased procoagulant activity and lung injury were concomitant with decreased leukocyte activation as attested by plasma leukocyte-derived MVs and NETosis reduction after rhTM treatment (neutrophil elastase/DNA: 93 +/- 33 vs. 227 +/- 48 and citrullinated histones H3/DNA: 96 +/- 16 vs. 242 +/- 180, mOD for 10(9) neutrophils/L, p &lt; 0.05). Conclusion: Thrombomodulin limits procoagulant responses and NETosis and at least partly restores hemostasis control during immunothrombosis. Neutrophils might thus stand as a promising therapeutic target in septic shock-induced coagulopathy.</t>
  </si>
  <si>
    <t>[Helms, Julie; Bianchini, Elsa; Borgel, Delphine] Univ Paris Sud, Hop Bicetre, UMR INSERM 1176, 78 Rue Gen Leclerc, F-94270 Le Kremlin Bicetre, France; [Helms, Julie; Diehl, Jean-Luc] Hop Europeen Georges Pompidou, AP HP, Reanimat Med, 20 Rue Leblanc, F-75015 Paris, France; [Clere-Jehl, Raphael; Meziani, Ferhat] Univ Strasbourg UNISTRA, Hop Univ Strasbourg, Fac Med, Serv Reanimat,Nouvel Hop Civil, Strasbourg, France; [Clere-Jehl, Raphael; Burban, Melanie; Zobairi, Fatiha; Toti, Florence; Meziani, Ferhat] French Natl Inst Hlth &amp; Med Res, INSERM, Regenerat Nanomed RNM, FMTS,UMR 1260, Strasbourg, France; [Le Borgne, Pierrick] CHU Strasbourg, Hop Hautepierre, Serv Accueil Urgences, 1 Ave Moliere, F-67200 Strasbourg, France; [Grunebaum, Lelia] CHU Strasbourg, Hop Hautepierre, Lab Hematol &amp; Hemostase, 1 Ave Moliere, F-67200 Strasbourg, France</t>
  </si>
  <si>
    <t>Assistance Publique Hopitaux Paris (APHP); Hopital Universitaire Bicetre - APHP; UDICE-French Research Universities; Universite Paris Saclay; Assistance Publique Hopitaux Paris (APHP); Hopital Universitaire Europeen Georges-Pompidou - APHP; UDICE-French Research Universities; Universite de Paris; CHU Strasbourg; UDICE-French Research Universities; Universites de Strasbourg Etablissements Associes; Universite de Strasbourg; Institut National de la Sante et de la Recherche Medicale (Inserm); UDICE-French Research Universities; Universites de Strasbourg Etablissements Associes; Universite de Strasbourg; CHU Strasbourg; UDICE-French Research Universities; Universites de Strasbourg Etablissements Associes; Universite de Strasbourg; CHU Strasbourg; UDICE-French Research Universities; Universites de Strasbourg Etablissements Associes; Universite de Strasbourg</t>
  </si>
  <si>
    <t>Borgel, D (corresponding author), Univ Paris Sud, Hop Bicetre, UMR INSERM 1176, 78 Rue Gen Leclerc, F-94270 Le Kremlin Bicetre, France.</t>
  </si>
  <si>
    <t>delphine.borgel@inserm.fr</t>
  </si>
  <si>
    <t>BIANCHINI, Elsa/0000-0002-1370-5312; Borgel, Delphine/0000-0002-8847-8935; Helms, Julie/0000-0003-0895-6800</t>
  </si>
  <si>
    <t>2110-5820</t>
  </si>
  <si>
    <t>DEC 8</t>
  </si>
  <si>
    <t>10.1186/s13613-017-0340-z</t>
  </si>
  <si>
    <t>WOS:000417814900001</t>
  </si>
  <si>
    <t>Li, TD; Long, SP; Gu, ML; Guo, J; Liu, Y; Zhang, WW; Deng, AM</t>
  </si>
  <si>
    <t>Li Tengda; Long Shuping; Gu Mingli; Guo Jie; Liu Yun; Zhang Weiwei; Deng Anmei</t>
  </si>
  <si>
    <t>Serum exosomal microRNAs as potent circulating biomarkers for melanoma</t>
  </si>
  <si>
    <t>exosome; melanoma; microRNA; receiver operating characteristic curve</t>
  </si>
  <si>
    <t>CUTANEOUS MELANOMA; CANCER; EXPRESSION; PROGRESSION; CELLS</t>
  </si>
  <si>
    <t>Exosomes are small homogenous membrane vesicles that derive from the exocytosis process of cells and can contain DNA, microRNAs (miRNAs), and/or proteins. Characterization of the content profile of exosomes may reflect the state of the cells that release them, and this could be predictive of disease. In this study, to explore the potential biomarkers for melanoma, we isolated serous exosomes from 30 patients with melanoma and 30 healthy individuals using the ultracentrifugation method. Five miRNAs were subsequently detected in each sample by quantitative reverse transcription-PCR: miRNA-532-5p, miRNA-106b, miRNA-200c, miRNA-199a-5p, and miRNA-210. Only the levels of exo-miRNA-532-5p and exo-miRNA-106b differed between the two groups (Z=-4.17 and -4.57, respectively, P&lt;0.0001). When these two miRNAs were evaluated individually and in combination in 95 melanoma patients and 95 healthy individuals serum samples, the area under the receiver operating characteristic curve values were 0.867, 0.820, and 0.936, respectively. Furthermore, in blinded tests of samples from 25 melanoma patients and 25 healthy individuals, this panel of miRNAs identified 23/25 patients with melanoma (92.0% sensitivity) and 22/25 healthy individuals (88.0% sensitivity). Our exo-miRNA panel also distinguished patients with metastasis from those without metastasis, patients with stage I-II disease from those with stage III-IV disease, and patients who had received pembrolizumab treatment from those who were untreated. Overall, these results indicate that serum exosomal miRNAs, especially exo-miRNA-532-5p and exo-miRNA-106b, have the potential to be used for monitoring and/or a diagnosis of melanoma in a clinical setting. Copyright (c) 2018 Wolters Kluwer Health, Inc. All rights reserved.</t>
  </si>
  <si>
    <t>[Li Tengda; Long Shuping; Deng Anmei] Second Mil Med Univ, Changhai Hosp, Ctr Clin Expt, Shanghai 200433, Peoples R China; [Gu Mingli; Guo Jie; Liu Yun; Zhang Weiwei] Second Mil Med Univ, Changhai Hosp, Dept Lab Diag, Shanghai, Peoples R China</t>
  </si>
  <si>
    <t>Naval Medical University; Naval Medical University</t>
  </si>
  <si>
    <t>Li, TD; Deng, AM (corresponding author), Second Mil Med Univ, Changhai Hosp, Ctr Clin Expt, Shanghai 200433, Peoples R China.</t>
  </si>
  <si>
    <t>amdeng70@163.com; amdeng70@163.com</t>
  </si>
  <si>
    <t>10.1097/CMR.0000000000000450</t>
  </si>
  <si>
    <t>WOS:000437756800005</t>
  </si>
  <si>
    <t>Vignolini, T; Macera, L; Antonelli, G; Pistello, M; Maggi, F; Giannecchini, S</t>
  </si>
  <si>
    <t>Vignolini, Tiziano; Macera, Lisa; Antonelli, Guido; Pistello, Mauro; Maggi, Fabrizio; Giannecchini, Simone</t>
  </si>
  <si>
    <t>Investigation on torquetenovirus (TTV) microRNA transcriptome in vivo</t>
  </si>
  <si>
    <t>VIRUS RESEARCH</t>
  </si>
  <si>
    <t>Anelloviridae; Torquetenevirus; MicroRNA expression; Exosomes; Immunosuppressive status</t>
  </si>
  <si>
    <t>TORQUE TENO VIRUS; HUMAN-IMMUNODEFICIENCY-VIRUS; VIRAL MIRNAS; IMMUNOSUPPRESSION; TRANSPLANTATION; VIREMIA; HEPATITIS; PATHOGEN; EXOSOMES; KINETICS</t>
  </si>
  <si>
    <t>Torquetenovirus (TTV) is a widespread anellovirus that establishes persistent infections in human showing an increased viremia in immunosuppressed patients. TTV possesses microRNA (miRNA)-coding sequences that might be involved in viral immune evasion. Here, the presence of TTV DNA and miRNAs expression was investigated in plasma samples of 77 diseased (20 infected with human immunodeficiency virus (HIV), 18 infected with hepatitis B (HBV) virus, 18 infected with hepatitis C (HCV) virus, 21 solid organ transplanted) patients, and 25 healthy controls. ITV prevalence was significantly different in healthy controls (60%, 15/25) versus diseased patients (80%, 62/77), showing the highest TTV loads in transplant recipients. Genetic TTV analysis showed the highest prevalence of group 1, followed by groups 3, 4 and 5, and a lack of isolates of group 2. The expression of at least one ITV miRNAs of group 1, 3 and 5 was found in exosomes of plasma of the great majority of individuals (96%, 98/102 subjects) showing the higher prevalence of miRNAs of TTV group 3 (90%, 92/102), followed by miRNAs of group 1 (66%, 67/102), and miRNA of group 5 (49%, 50/102). TTV miRNAs expression and TTV viremia were not always directly correlated, and significant differences appeared in production of some ITV miRNAs between healthy controls and diseased patients. The reported ITV miRNAs status in exosomes encourages further investigation to understand their potential role in the expansion of anelloviruses upon immunosuppression. (C) 2016 Elsevier B.V. All rights reserved.</t>
  </si>
  <si>
    <t>[Vignolini, Tiziano; Giannecchini, Simone] Univ Florence, Dept Expt &amp; Clin Med, Florence, Italy; [Macera, Lisa; Pistello, Mauro; Maggi, Fabrizio] Pisa Univ Hosp, Virol Unit, Pisa, Italy; [Antonelli, Guido] Univ Roma La Sapienza, Inst Pasteur, Dept Mol Med, Virol Lab,Cenci Bolognetti Fdn, Rome, Italy</t>
  </si>
  <si>
    <t>University of Florence; University of Pisa; Azienda Ospedaliero Universitaria Pisana; Fondazione Cenci Bolognetti; Sapienza University Rome</t>
  </si>
  <si>
    <t>Antonelli, Guido/K-7915-2016; Giannecchini, Simone/K-2136-2016; Maggi, Fabrizio/AAU-5965-2021; Maggi, Fabrizio/L-2974-2013; Pistello, Mauro/AAD-4214-2022</t>
  </si>
  <si>
    <t>Giannecchini, Simone/0000-0003-3374-7621; Maggi, Fabrizio/0000-0001-7489-5271; Maggi, Fabrizio/0000-0001-7489-5271; ANTONELLI, Guido/0000-0002-2533-2939</t>
  </si>
  <si>
    <t>0168-1702</t>
  </si>
  <si>
    <t>1872-7492</t>
  </si>
  <si>
    <t>JUN 2</t>
  </si>
  <si>
    <t>10.1016/j.virusres.2016.03.003</t>
  </si>
  <si>
    <t>WOS:000375498900003</t>
  </si>
  <si>
    <t>Zareitaher, T; Ahmadi, TS; Gargari, SLM</t>
  </si>
  <si>
    <t>Zareitaher, Tahereh; Ahmadi, Tooba Sadat; Gargari, Seyed Latif Mousavi</t>
  </si>
  <si>
    <t>Immunogenic efficacy of DNA and protein-based vaccine from a chimeric gene consisting OmpW, TcpA and CtxB, of Vibrio cholerae</t>
  </si>
  <si>
    <t>IMMUNOBIOLOGY</t>
  </si>
  <si>
    <t>Vibrio cholerae; Vaccine; DNA; CtxB; OmpW; TcpA</t>
  </si>
  <si>
    <t>OUTER-MEMBRANE VESICLES; WHOLE CELL VACCINE; B-SUBUNIT; TOXIN; IMMUNIZATION; EXPRESSION; PROTECTION; SAFETY; ANTIBODIES; CHALLENGE</t>
  </si>
  <si>
    <t>Vibrio cholerae is one of the major causes of morbidity and mortality in developing countries. CtxB, responsible for toxin binding to eukaryotic cells, TcpA, involved in bacterial colonization, and OmpW, the highly conserved extracellular protein, are the three of the significant essential virulence factors in V. cholerae with enhanced immunogenic properties. Increasing emergence of antimicrobial-resistant strains (AMR) highlights the urgent need for new therapeutic agents. Uncomplicated high yield production, simple design, inducing either or both humoral and cellular immunity, and long-term immune responsiveness are some of the advantages of IgG an-tibodies over other immunotherapy agents. Chimeric proteins have the potential of presenting multiple antigens to immune system, simultaneously. Thus, the current study was aimed to evaluate the stability and protective efficacy of DNA and protein-based vaccine candidates of a chimeric gene harboring OTC (OmpW, TcpA and CtxB) against V. cholerae. The immunogenicity and specificity of induced IgGs were confirmed through indirect ELISA and western blot analysis, respectively. The DNA and protein immunized mice sera were able to neutralize the cytotoxicity effects of the cholera toxin (CT) at 5% and 10% dilutions in Y1 cell line, and inhibited 60% and 68% of the bacterial adhesion to HT-29 cells, respectively. The DNA and protein immunized sera provided 99% and 95% viability percent in spleen cell viability assays, and inhibited the bacteria-induced fluid accumulation in ileal loop assay at 1/80 and 1/160 dilutions, respectively. Different groups of passively immunized infant mice and actively immunized adult mice were challenged with V. cholerae. The OTC construct provided high survival rates against lethal infection, and significantly reduced the bacterial loads. Our results highlight the potential therapeutic effect of the recombinant OTC chimeric construct, either as a DNA or protein vaccine, due to its remarkable immunogenicity and protectivity against V. cholerae.</t>
  </si>
  <si>
    <t>[Zareitaher, Tahereh; Ahmadi, Tooba Sadat; Gargari, Seyed Latif Mousavi] Shahed Univ, Fac Basic Sci, Dept Biol, Tehran, Iran</t>
  </si>
  <si>
    <t>Shahed University</t>
  </si>
  <si>
    <t>Gargari, SLM (corresponding author), Shahed Univ, Fac Basic Sci, Dept Biol, Tehran, Iran.</t>
  </si>
  <si>
    <t>slmousavi@shahed.ac.ir</t>
  </si>
  <si>
    <t>0171-2985</t>
  </si>
  <si>
    <t>1878-3279</t>
  </si>
  <si>
    <t>10.1016/j.imbio.2022.152190</t>
  </si>
  <si>
    <t>WOS:000777933200005</t>
  </si>
  <si>
    <t>KADURUGAMUWA, JL; BEVERIDGE, TJ</t>
  </si>
  <si>
    <t>VIRULENCE FACTORS ARE RELEASED FROM PSEUDOMONAS-AERUGINOSA IN ASSOCIATION WITH MEMBRANE-VESICLES DURING NORMAL GROWTH AND EXPOSURE TO GENTAMICIN - A NOVEL MECHANISM OF ENZYME-SECRETION</t>
  </si>
  <si>
    <t>GRAM-NEGATIVE BACTERIA; EXTRACELLULAR PROTEIN SECRETION; OUTER-MEMBRANE; ALKALINE PROTEASE; PHOSPHOLIPASE-C; CYSTIC-FIBROSIS; CEREBROSPINAL-FLUID; DEFICIENT MUTANTS; CELL-ENVELOPE; A-BAND</t>
  </si>
  <si>
    <t>Pseudomonas aeruginosa blebs-off membrane vesicles (MVs) into culture medium during normal growth. Release of these vesicles increased approximately threefold after exposure of the organism to four times the MIC of gentamicin, Natural and gentamicin-induced membrane vesicles (n-MVs and g-MVs, respectively) were isolated by filtration and differential centrifugation, and several of their biological activities mere characterized. Electron microscopy of both n-MVs and g-MVs revealed that they were spherical bilayer MVs with a diameter of 50 to 150 mn. Immunoelectron microscopy and Western blot (immunoblot) analysis of the vesicles demonstrated the presence of B-band lipopolysaccharide (LPS), with a slightly higher proportion of B-band LPS in g-MVs than in n-MVs. A-band LPS was occasionally detected in g-MVs but not in n-MVs. In addition to LPS, several enzymes, such as phospholipase C, protease, hemolysin, and alkaline phosphatase, which are known to contribute to the pathogenicity of Pseudomonas infections were found to be present in both vesicle types. Both types of vesicles contained DNA, with a significantly higher content in g-MVs. These vesicles could thus play an important role in genetic transformation and disease by serving as a transport vehicle for DNA and virulence factors and are presumably involved in septic shock.</t>
  </si>
  <si>
    <t>KADURUGAMUWA, JL (corresponding author), UNIV GUELPH,COLL BIOL SCI,DEPT MICROBIOL,CTR CANADIAN BACTERIAL DIS NETWORK,GUELPH,ON N1G 2W1,CANADA.</t>
  </si>
  <si>
    <t>10.1128/jb.177.14.3998-4008.1995</t>
  </si>
  <si>
    <t>WOS:A1995RH81000016</t>
  </si>
  <si>
    <t>Tan, SK; Pastori, C; Penas, C; Komotar, RJ; Ivan, ME; Wahlestedt, C; Ayad, NG</t>
  </si>
  <si>
    <t>Tan, Sze Kiat; Pastori, Chiara; Penas, Clara; Komotar, Ricardo J.; Ivan, Michael E.; Wahlestedt, Claes; Ayad, Nagi G.</t>
  </si>
  <si>
    <t>Serum long noncoding RNA HOTAIR as a novel diagnostic and prognostic biomarker in glioblastoma multiforme</t>
  </si>
  <si>
    <t>Glioblastoma; Long noncoding RNA; HOTAIR; Biomarker; Cancer</t>
  </si>
  <si>
    <t>PSEUDOPROGRESSION; PREDICTOR; SURVIVAL</t>
  </si>
  <si>
    <t>Glioblastoma multiforme (GBM) is the most common and aggressive malignant adult primary brain tumor. Despite surgical resection followed by radiotherapy and chemotherapy, the median survival rate is approximately 14 months. Although experimental therapies are in clinical trials for GBM, there is an urgent need for a peripheral GBM biomarker for measuring treatment response. As we have previously demonstrated that the long noncoding RNA HOX Transcript Antisense Intergenic RNA, or HOTAIR, is dysregulated in GBM and required for GBM cell proliferation, we hypothesized that HOTAIR expression may be utilized as a peripheral biomarker for GBM. HOTAIR expression was measured in serum from 43 GBM and 40 controls using quantitative real-time PCR (qRT-PCR). The PCR products were subsequently subcloned into pCR (TM) 4-TOPO((R))TA vectors for DNA sequencing. A ROC curve was also generated to examine HOTAIR's prognostic value. The amount of HOTAIR in serum exosomes and exosome-depleted supernatant was calculated by qRT-PCR. The relative HOTAIR expression was also investigated in 15 pairs of GBM serum and tumors. We detected HOTAIR in serum from GBM patients. HOTAIR levels in serum samples from GBM patients was significantly higher than in the corresponding controls (P &lt; 0.0001). The area under the ROC curve distinguishing GBM patients from controls was 0.913 (95% CI: 0.845-0.982, P &lt; 0. 0001), with 86.1% sensitivity and 87.5% specificity at the cut-off value of 10.8. HOTAIR expression was significantly correlated with high grade brain tumors. In addition, Pearson correlation analysis indicated a medium correlation of serum HOTAIR levels and the corresponding tumor HOTAIR levels (r = 0.734, P &lt; 0.01). We confirmed via sequencing that the amplified HOTAIR from serum contained the HOTAIR sequence and maps to the known HOTAIR locus at 12q13. The serum-derived exosomes contain HOTAIR and the purified exosomes were validated by western blot and nanoparticle tracking analysis. Importantly, our results demonstrate that serum HOTAIR can be used as a novel prognostic and diagnostic biomarker for GBM.</t>
  </si>
  <si>
    <t>[Tan, Sze Kiat; Pastori, Chiara; Komotar, Ricardo J.; Ivan, Michael E.] Univ Miami, Miller Sch Med, Dept Neurosurg, Sylvester Comprehens Canc Ctr,Brain Tumor Initiat, Miami, FL 33136 USA; [Tan, Sze Kiat; Penas, Clara; Ayad, Nagi G.] Univ Miami, Miller Sch Med,Brain Tumor Initiat, Dept Psychiat &amp; Behav Sci,Sylvester Comprehens Ca, Ctr Therapeut Innovat,Miami Project Cure Paralysi, Miami, FL 33136 USA; [Wahlestedt, Claes] Univ Miami, Miller Sch Med, Sylvester Comprehens Canc Ctr, Dept Psychiat &amp; Behav Sci,Ctr Therapeut Innovat,B, Miami, FL 33136 USA</t>
  </si>
  <si>
    <t>University of Miami; University of Miami; University of Miami</t>
  </si>
  <si>
    <t>Ayad, NG (corresponding author), Univ Miami, Miller Sch Med,Brain Tumor Initiat, Dept Psychiat &amp; Behav Sci,Sylvester Comprehens Ca, Ctr Therapeut Innovat,Miami Project Cure Paralysi, Miami, FL 33136 USA.</t>
  </si>
  <si>
    <t>nayad@med.miami.edu</t>
  </si>
  <si>
    <t>Tan, Sze Kiat/AAR-4327-2021; penas, clara/K-3480-2017</t>
  </si>
  <si>
    <t>penas, clara/0000-0003-0554-3832; Ivan, Michael/0000-0002-4798-4989</t>
  </si>
  <si>
    <t>MAR 20</t>
  </si>
  <si>
    <t>10.1186/s12943-018-0822-0</t>
  </si>
  <si>
    <t>WOS:000427850200001</t>
  </si>
  <si>
    <t>Wang, ZY; Li, F; Rufo, J; Chen, CY; Yang, SJ; Li, L; Zhang, JX; Cheng, J; Kim, Y; Wu, MX; Abemayor, E; Tu, M; Chia, D; Spruce, R; Batis, N; Mehanna, H; Wong, DTW; Huang, TJ</t>
  </si>
  <si>
    <t>Wang, Zeyu; Li, Feng; Rufo, Joseph; Chen, Chuyi; Yang, Shujie; Li, Liang; Zhang, Jinxin; Cheng, Jordan; Kim, Yong; Wu, Mengxi; Abemayor, Elliot; Tu, Michael; Chia, David; Spruce, Rachel; Batis, Nikolaos; Mehanna, Hisham; Wong, David T. W.; Huang, Tony Jun</t>
  </si>
  <si>
    <t>Acoustofluidic Salivary Exosome Isolation A Liquid Biopsy Compatible Approach for Human Papillomavirus-Associated Oropharyngeal Cancer Detection</t>
  </si>
  <si>
    <t>JOURNAL OF MOLECULAR DIAGNOSTICS</t>
  </si>
  <si>
    <t>SQUAMOUS-CELL CARCINOMA; ORAL-CANCER; HEAD; HPV; VISCOSITY; MICRORNA</t>
  </si>
  <si>
    <t>Previous efforts to evaluate the detection of human papilloma viral (HPV) DNA in whole saliva as a diagnostic measure for H PV-associated oropharyngeal cancer (HPV-OPC) have not shown sufficient clinical performance. We hypothesize that salivary exosomes are packaged with HPV-associated biomarkers, and efficient enrichment of salivary exosomes through isolation can enhance diagnostic and prognostic performance for HPV-OPC. In this study, an acoustofluidic (the fusion of acoustics and microfluidics) platform was developed to perform size-based isolation of salivary exosomes. These data showed that this platform is capable of consistently isolating exosomes from saliva samples, regardless of viscosity variation and collection method. Compared with the current gold standard, differential centrifugation, droplet digital RT-PCR analysis showed that the average yield of salivary exosomal small RNA from the acoustofluidic platform is 15 times higher. With this high-yield exosome isolation platform, we show that H PV16 DNA could be detected in isolated exosomes from the saliva of HPV-associated OPC patients at 80% concordance with tissues/biopsies positive for HPV16. Overall, these data demonstrated that the acoustofluidic platform can achieve high-purity and high-yield salivary exosome isolation for downstream salivary exosome based liquid biopsy applications. Additionally, HPV16 DNA sequences in HPV-OPC patients are packaged in salivary exosomes and their isolation will enhance the detection of HPV16 DNA.</t>
  </si>
  <si>
    <t>[Wang, Zeyu; Rufo, Joseph; Chen, Chuyi; Yang, Shujie; Zhang, Jinxin; Wu, Mengxi; Huang, Tony Jun] Duke Univ, Dept Mech Engn &amp; Mat Sci, 144 Hudson Hall,Box 90300, Durham, NC 27708 USA; [Li, Feng; Li, Liang; Cheng, Jordan; Kim, Yong; Tu, Michael; Wong, David T. W.] Univ Calif Los Angeles, David Geffen Sch Med, Ctr Oral Head &amp; Neck Oncol Res, Los Angeles, CA 90095 USA; [Abemayor, Elliot] Univ Calif Los Angeles, David Geffen Sch Med, Sch Dent, Los Angeles, CA 90095 USA; [Abemayor, Elliot] Univ Calif Los Angeles, David Geffen Sch Med, Dept Otolaryngol Head &amp; Neck Surg, Los Angeles, CA 90095 USA; [Chia, David] Univ Calif Los Angeles, David Geffen Sch Med, Dept Pathol, Los Angeles, CA 90095 USA; [Li, Liang] Hunan Univ Chinese Med, Inst Diagnost Chinese Med, Changsha, Huan, Peoples R China; [Spruce, Rachel; Batis, Nikolaos; Mehanna, Hisham] Univ Birmingham, Coll Med &amp; Dent Sci, Inst Canc &amp; Genom Sci, Inst Head &amp; Neck Studies &amp; Educ InHANSE, Birmingham, W Midlands, England</t>
  </si>
  <si>
    <t>Duke University; University of California System; University of California Los Angeles; University of California Los Angeles Medical Center; David Geffen School of Medicine at UCLA; University of California System; University of California Los Angeles; University of California Los Angeles Medical Center; David Geffen School of Medicine at UCLA; University of California System; University of California Los Angeles; University of California Los Angeles Medical Center; David Geffen School of Medicine at UCLA; University of California System; University of California Los Angeles; University of California Los Angeles Medical Center; David Geffen School of Medicine at UCLA; Hunan University of Chinese Medicine; University of Birmingham</t>
  </si>
  <si>
    <t>Huang, TJ (corresponding author), Duke Univ, Dept Mech Engn &amp; Mat Sci, 144 Hudson Hall,Box 90300, Durham, NC 27708 USA.;Wong, DTW (corresponding author), Univ Calif Los Angeles, Ctr Oral Head &amp; Neck Oncol Res, 10833 Le Conte Ave,73-017 CHS, Los Angeles, CA 90095 USA.</t>
  </si>
  <si>
    <t>dtww@ucla.edu; huang@duke.edu</t>
  </si>
  <si>
    <t>Wu, Mengxi/R-1398-2018; Yang, Shujie/AAC-8573-2019; Li, Feng/J-1678-2019; Huang, Tony Jun/A-1546-2009</t>
  </si>
  <si>
    <t>Wu, Mengxi/0000-0003-0086-5349; Yang, Shujie/0000-0003-2626-3397; Li, Feng/0000-0002-5819-734X; Huang, Tony Jun/0000-0003-1205-3313; Tu, Michael/0000-0002-7227-4030; kim, yong/0000-0001-5971-6378; Zhang, Jinxin/0000-0001-6492-8519; Mehanna, Hisham/0000-0002-5544-6224; Batis, Nikolaos/0000-0002-2305-7427</t>
  </si>
  <si>
    <t>1525-1578</t>
  </si>
  <si>
    <t>1943-7811</t>
  </si>
  <si>
    <t>10.1016/j.jmoldx.2019.08.004</t>
  </si>
  <si>
    <t>Pathology</t>
  </si>
  <si>
    <t>WOS:000509818700006</t>
  </si>
  <si>
    <t>LEACH, RM; ROSSELOT, GE</t>
  </si>
  <si>
    <t>THE USE OF AVIAN EPIPHYSEAL CHONDROCYTES FOR INVITRO STUDIES OF SKELETAL METABOLISM</t>
  </si>
  <si>
    <t>JOURNAL OF NUTRITION</t>
  </si>
  <si>
    <t>SYMP AT THE 75TH ANNUAL MEETING OF THE FEDERATION OF AMERICAN SOC FOR EXPERIMENTAL BIOLOGY</t>
  </si>
  <si>
    <t>APR   23, 1991</t>
  </si>
  <si>
    <t>ATLANTA, GA</t>
  </si>
  <si>
    <t>CHONDROCYTES; CELL CULTURE; SERUM-FREE MEDIUM; AVIAN</t>
  </si>
  <si>
    <t>GROWTH PLATE CHONDROCYTES; HUMAN PARATHYROID-HORMONE; MATRIX VESICLE FORMATION; PRIMARY CULTURES; FACTOR-BETA; ALKALINE-PHOSPHATASE; DNA-SYNTHESIS; FACTOR-I; CHICKEN; SERUM</t>
  </si>
  <si>
    <t>Chondrocytes from the postembryonic avian epiphyseal growth plate are easily obtained and can be successfully cultured for a considerable length of time. Under the proper culture conditions, the chondrocytes will become confluent and achieve a hypertrophic morphology followed by mineralization of the extracellular matrix. Although this can be accomplished with a serum-free medium, the process is accelerated in the presence of serum. Minimal growth factor requirements for the serum-free medium include fibroblast growth factor and insulin-like growth factor. Transforming growth factor-beta and parathyroid hormone are also mitogenic for chondrocytes. Chondrocytes may have more critical requirements for amino acids because further supplementation of a conventional medium such as Dulbecco's modified Eagle's medium results in improved performance of the cultured cells. Ascorbic acid in the medium is very important for matrix vesicle production and mineralization of cartilage nodules.</t>
  </si>
  <si>
    <t>LEACH, RM (corresponding author), PENN STATE UNIV,DEPT POULTRY SCI,213 HENNING BLDG,UNIV PK,PA 16802, USA.</t>
  </si>
  <si>
    <t>0022-3166</t>
  </si>
  <si>
    <t>10.1093/jn/122.suppl_3.802</t>
  </si>
  <si>
    <t>WOS:A1992HG41100042</t>
  </si>
  <si>
    <t>Chen, DK; Xu, T; Wang, SB; Chang, H; Yu, T; Zhu, Y; Chen, J</t>
  </si>
  <si>
    <t>Chen, Dake; Xu, Tao; Wang, Shubin; Chang, Howard; Yu, Tao; Zhu, Yu; Chen, Jian</t>
  </si>
  <si>
    <t>Liquid Biopsy Applications in the Clinic</t>
  </si>
  <si>
    <t>CIRCULATING TUMOR-CELLS; MATERNAL PLASMA; DNA; AFFINITIES; PREDICTION; RESISTANCE; PEPTIDES; EXOSOMES; BLOOD</t>
  </si>
  <si>
    <t>The global liquid biopsy industry is expected to exceed $US5 billion by 2023. One application of liquid biopsy technology is the diagnosis of disease using biomarkers found in blood, urine, stool, saliva, and other biological samples from patients. These biomarkers could be DNA, RNA, protein, or even a cell. More recently, the use of cell-free DNA from plasma is emerging as an important minimally invasive tool for clinical diagnosis. The development of technology has increased the diversity of its application. Here, we discuss how liquid biopsies have been used in the clinic, and how personalized medicine are likely to use liquid biopsies in the near future.</t>
  </si>
  <si>
    <t>[Chen, Dake] Tongzhou Peoples Hosp, Dept Oncol, Nantong 226300, Peoples R China; [Xu, Tao] Shanghai Jiao Tong Univ, Dept Anesthesiol, Affiliated Shanghai Peoples Hosp 6, Shanghai 200233, Peoples R China; [Wang, Shubin; Zhu, Yu] Peking Univ, Dept Oncol, Shenzhen Hosp, Shenzhen, Peoples R China; [Chang, Howard; Yu, Tao] CuraCloud Corp, 999 Third Ave,Suite 700, Seattle, WA 98104 USA; [Chen, Jian] Tongzhou Peoples Hosp, Dept Orthoped, Nantong 226300, Peoples R China</t>
  </si>
  <si>
    <t>Shanghai Jiao Tong University; Peking University</t>
  </si>
  <si>
    <t>Zhu, Y (corresponding author), Peking Univ, Dept Oncol, Shenzhen Hosp, Shenzhen, Peoples R China.;Yu, T (corresponding author), CuraCloud Corp, 999 Third Ave,Suite 700, Seattle, WA 98104 USA.;Chen, J (corresponding author), Tongzhou Peoples Hosp, Dept Orthoped, Nantong 226300, Peoples R China.</t>
  </si>
  <si>
    <t>taoy@curacloudcorp.com; yuzhu5@hotmail.com; tzcj@nttzhospital.com</t>
  </si>
  <si>
    <t>Xu, Tao/0000-0001-5868-4079</t>
  </si>
  <si>
    <t>10.1007/s40291-019-00444-8</t>
  </si>
  <si>
    <t>JAN 2020</t>
  </si>
  <si>
    <t>WOS:000516282900001</t>
  </si>
  <si>
    <t>Rhee, SJ; Kim, H; Lee, Y; Lee, HJ; Park, CHK; Yang, J; Kim, YK; Kym, S; Ahn, YM</t>
  </si>
  <si>
    <t>Rhee, Sang Jin; Kim, Hyeyoung; Lee, Yunna; Lee, Hyun Jeong; Park, C. Hyung Keun; Yang, Jinho; Kim, Yoon-Keun; Kym, Sungmin; Ahn, Yong Min</t>
  </si>
  <si>
    <t>Comparison of serum microbiome composition in bipolar and major depressive disorders</t>
  </si>
  <si>
    <t>JOURNAL OF PSYCHIATRIC RESEARCH</t>
  </si>
  <si>
    <t>Microbiota; Bipolar disorder; Depressive disorder; Major; Apoptosis; Ascorbic acid</t>
  </si>
  <si>
    <t>FECAL MICROBIOTA; GUT MICROBIOTA; ECONOMIC BURDEN; UNITED-STATES; RATING-SCALE; ANTIDEPRESSANTS; SCHIZOPHRENIA; UNIPOLAR</t>
  </si>
  <si>
    <t>Bipolar disorder and major depressive disorder are debilitating psychiatric conditions which can be difficult to differentiate; however, recent studies have suggested that microbiome composition may be a potential tool in distinguishing between these two disorders. This study aimed to compare the serum microbiome composition of patients with bipolar disorder, major depressive disorder, and healthy controls. Serum samples were collected from 42 subjects with bipolar disorder, 30 with major depressive disorder, and 36 healthy controls. Bacterial DNA was isolated from bacteria-derived extracellular vesicles in the serum and then amplified and quantified with primers specific to the V3-V4 hypervariable region of the 16S rDNA gene. Sequence reads were clustered into operational taxonomic units and classified using the SILVA database. Alpha and beta diversity, individual taxa analysis based on phylum and genus, and functional pathways were compared. There was no statistical difference between alpha or beta diversity in patients with bipolar disorder and major depressive disorder; however, the Prevotella 2 and Ruminococcaceae UCG-002 genera were significantly more prevalent in patients with major depressive disorder than in either those with bipolar disorder or in healthy controls. Functional analysis of pathways revealed that the apoptosis function differed between all three groups. In conclusion, the Prevotella 2 and Ruminococcaceae UCG-002 genera were identified as potential candidates for distinguishing bipolar disorder and major depressive disorder. Further studies with larger sample sizes, longitudinal designs, and control for other various confounders are warranted.</t>
  </si>
  <si>
    <t>[Rhee, Sang Jin; Kim, Hyeyoung; Lee, Yunna; Park, C. Hyung Keun; Ahn, Yong Min] Seoul Natl Univ Hosp, Dept Neuropsychiat, Seoul, South Korea; [Rhee, Sang Jin; Kim, Hyeyoung; Park, C. Hyung Keun; Ahn, Yong Min] Seoul Natl Univ, Coll Med, Dept Psychiat &amp; Behav Sci, Seoul, South Korea; [Lee, Hyun Jeong] Natl Canc Ctr, Div Canc Management Policy, Dept Psychiat &amp; Behav Sci, Goyang, South Korea; [Yang, Jinho; Kim, Yoon-Keun] MD Healthcare Inc, Seoul, South Korea; [Kym, Sungmin] Inje Univ, Haeundae Paik Hosp, Coll Med, Dept Internal Med, Busan, South Korea; [Ahn, Yong Min] Seoul Natl Univ, Med Res Ctr, Inst Human Behav Med, Seoul, South Korea; [Kim, Hyeyoung] Inha Univ Hosp, Dept Psychiat, Incheon, South Korea; [Lee, Yunna] Kosin Univ, Gospel Hosp, Dept Psychiat, Busan, South Korea; [Park, C. Hyung Keun] Asan Med Ctr, Dept Psychiat, Seoul, South Korea</t>
  </si>
  <si>
    <t>Seoul National University (SNU); Seoul National University Hospital; Seoul National University (SNU); National Cancer Center - Korea (NCC); Inje University; Seoul National University (SNU); Inha University; Inha University Hospital; University of Ulsan; Asan Medical Center</t>
  </si>
  <si>
    <t>Ahn, YM (corresponding author), Seoul Natl Univ Hosp, Dept Neuropsychiat, Seoul, South Korea.</t>
  </si>
  <si>
    <t>hellojr1123@hanmail.net; kimhy.md@gmail.com; ynlee8317@gmail.com; hjlee.np@gmail.com; hkpark@gmail.com; ykkim@mdhc.kr; smkimkor@paik.ac.kr; aym@snu.ac.kr</t>
  </si>
  <si>
    <t>Park, Christopher/0000-0002-2568-1426; Kim, Sungmin/0000-0003-3518-966X</t>
  </si>
  <si>
    <t>0022-3956</t>
  </si>
  <si>
    <t>1879-1379</t>
  </si>
  <si>
    <t>10.1016/j.jpsychires.2020.01.004</t>
  </si>
  <si>
    <t>Psychiatry</t>
  </si>
  <si>
    <t>WOS:000518875600004</t>
  </si>
  <si>
    <t>Haag, ES; Sly, BJ; Andrews, ME; Raff, RA</t>
  </si>
  <si>
    <t>Apextrin, a novel extracellular protein associated with larval ectoderm evolution in Heliocidaris erythrogramma</t>
  </si>
  <si>
    <t>DEVELOPMENTAL BIOLOGY</t>
  </si>
  <si>
    <t>DEVELOPING SEA-URCHINS; HYALINE LAYER; GENE-EXPRESSION; APICAL LAMINA; CELL-ADHESION; EMBRYOS; ARYLSULFATASE; FIBROPELLINS; CONSTRUCTION; TUBERCULATA</t>
  </si>
  <si>
    <t>During the evolution of direct development in the sea urchin Heliocidaris erythrogramma major modifications occurred, which allowed the precocious formation of adult-specific structures and led to a novel larval body that surrounds these structures. The HeET-1 gene was isolated in a differential screen for transcripts enriched in the early embryos of a erythrogramma relative to those of its indirect-developing congener, a tuberculata. HeET-1 was unique among the three genes found in that no homologous transcript was detected in a tuberculata total embryonic RNA blots. To verify this apparently extreme differential expression of the HeET-1 genes in Heliocidaris, we isolated the HeET-1 homologue from a tuberculata genomic DNA and used it to probe blots of poly(A)(+) RNA prepared from a tuberculata embryos. It is expressed in a tuberculata embryos at levels undetectable by this technique. The predicted amino acid sequence of HeET-1 suggested that it encodes a novel secreted protein. To assess the function of HeET-1, we raised polyclonal antisera to the HeET-1-encoded protein. We find that it is present in eggs in a type of secretory vesicle and that this maternal pool is gradually secreted after fertilization. As cells acquire apical-basal polarity in the blastula the protein becomes localized to the apical extracellular matrix, leading us to name the protein apextrin. The apical extracellular localization of apextrin is maintained in the columnar cells of the larval ectoderm until their internalization at metamorphosis. Ingressing mesenchyme cells rapidly endocytose apextrin upon leaving the vegetal plate. Comparison with fibropellin III, an apical lamina component, suggests that apextrin is an extracellular protein that is in tighter association with the plasma membrane than is the hyalin layer or apical lamina. We propose that apextrin is involved in apical cell adhesion and that its high level of expression may represent an adaptive cooption necessary for strengthening the large a erythrogramma embryo. (C) 1999 Academic Press.</t>
  </si>
  <si>
    <t>Indiana Univ, Dept Biol, Bloomington, IN 47405 USA; Indiana Univ, Indiana Mol Biol Inst, Bloomington, IN 47405 USA</t>
  </si>
  <si>
    <t>Indiana University System; Indiana University Bloomington; Indiana University System; Indiana University Bloomington</t>
  </si>
  <si>
    <t>Haag, ES (corresponding author), Indiana Univ, Dept Biol, Bloomington, IN 47405 USA.</t>
  </si>
  <si>
    <t>0012-1606</t>
  </si>
  <si>
    <t>10.1006/dbio.1999.9283</t>
  </si>
  <si>
    <t>Developmental Biology</t>
  </si>
  <si>
    <t>WOS:000081269200007</t>
  </si>
  <si>
    <t>Perets, R; Greenberg, O; Shentzer, T; Semenisty, V; Epelbaum, R; Bick, T; Sarji, S; Ben-Izhak, O; Sabo, E; Hershkovitz, D</t>
  </si>
  <si>
    <t>Perets, Ruth; Greenberg, Orli; Shentzer, Talia; Semenisty, Valeria; Epelbaum, Ron; Bick, Tova; Sarji, Shada; Ben-Izhak, Ofer; Sabo, Edmond; Hershkovitz, Dov</t>
  </si>
  <si>
    <t>Mutant KRAS Circulating Tumor DNA Is an Accurate Tool for Pancreatic Cancer Monitoring</t>
  </si>
  <si>
    <t>ONCOLOGIST</t>
  </si>
  <si>
    <t>Pancreatic cancer; Adenocarcinoma; KRAS; Circulating tumor DNA; Liquid biopsy; Cancer monitoring</t>
  </si>
  <si>
    <t>LUNG-CANCER; COMBINATION THERAPY; EXOSOMES; GEMCITABINE; RESISTANCE; CA19-9; ADENOCARCINOMA; BIOMARKERS; MANAGEMENT; PROGNOSIS</t>
  </si>
  <si>
    <t>Background. Many new pancreatic cancer treatment combinations have been discovered in recent years, yet the prognosis of pancreatic ductal adenocarcinoma (PDAC) remains grim. The advent of new treatments highlights the need for better monitoring tools for treatment response, to allow a timely switch between different therapeutic regimens. Circulating tumor DNA (ctDNA) is a tool for cancer detection and characterization with growing clinical use. However, currently, ctDNA is not used for monitoring treatment response. The high prevalence of KRAS hotspot mutations in PDAC suggests that mutant KRAS can be an efficient ctDNA marker for PDAC monitoring. Subjects, Materials, and Methods. Seventeen metastatic PDAC patients were recruited and serial plasma samples were collected. CtDNA was extracted from the plasma, and KRAS mutation analysis was performed using next-generation sequencing and correlated with serum CA19-9 levels, imaging, and survival. Results. Plasma KRAS mutations were detected in 5/17 (29.4%) patients. KRAS ctDNA detection was associated with shorter survival (8 vs. 37.5 months). Our results show that, in ctDNA positive patients, ctDNA is at least comparable to CA19-9 as a marker for monitoring treatment response. Furthermore, the rate of ctDNA change was inversely correlated with survival. Conclusion. Our results confirm that mutant KRAS ctDNA detection in metastatic PDAC patients is a poor prognostic marker. Additionally, we were able to show that mutant KRAS ctDNA analysis can be used to monitor treatment response in PDAC patients and that ctDNA dynamics is associated with survival. We suggest that ctDNA analysis in metastatic PDAC patients is a readily available tool for disease monitoring.</t>
  </si>
  <si>
    <t>[Perets, Ruth; Shentzer, Talia; Semenisty, Valeria; Epelbaum, Ron] Rambam Hlth Care Campus, Dept Oncol, Haifa, Israel; [Bick, Tova; Sarji, Shada; Ben-Izhak, Ofer; Sabo, Edmond] Rambam Hlth Care Campus, Dept Pathol, Haifa, Israel; [Perets, Ruth; Epelbaum, Ron; Ben-Izhak, Ofer; Sabo, Edmond] Technion Israel Inst Technol, Haifa, Israel; [Greenberg, Orli; Hershkovitz, Dov] Tel Aviv Sourasky Med Ctr, Dept Pathol, Tel Aviv, Israel; [Hershkovitz, Dov] Tel Aviv Univ, Sackler Fac Med, Tel Aviv, Israel</t>
  </si>
  <si>
    <t>Rambam Health Care Campus; Rambam Health Care Campus; Technion Israel Institute of Technology; Rappaport Faculty of Medicine; Tel Aviv University; Sackler Faculty of Medicine; Tel Aviv Sourasky Medical Center; Tel Aviv University; Sackler Faculty of Medicine</t>
  </si>
  <si>
    <t>Hershkovitz, D (corresponding author), Tel Aviv Sourasky Med Ctr, Inst Pathol, 6 Weizmann St, IL-64239 Tel Aviv, Israel.</t>
  </si>
  <si>
    <t>dovh@tlvmc.gov.il</t>
  </si>
  <si>
    <t>1083-7159</t>
  </si>
  <si>
    <t>1549-490X</t>
  </si>
  <si>
    <t>10.1634/theoncologist.2017-0467</t>
  </si>
  <si>
    <t>WOS:000431968200009</t>
  </si>
  <si>
    <t>Tanja, J; Cvetka, GK; Maja, C</t>
  </si>
  <si>
    <t>Tanja, Jesenko; Cvetka, Grasic Kuhar; Maja, Cemazar</t>
  </si>
  <si>
    <t>Liquid biopsy in cancer</t>
  </si>
  <si>
    <t>ONKOLOGIJA</t>
  </si>
  <si>
    <t>liquid biopsy; cfDNA; ctDNA; circulating tumor cells; exosomes</t>
  </si>
  <si>
    <t>CIRCULATING TUMOR DNA; ACQUIRED-RESISTANCE; DIAGNOSTIC MARKER; STRANDED-DNA; CELLS; MUTATIONS; PLASMA; EGFR; EXOSOMES; EVOLUTION</t>
  </si>
  <si>
    <t>Recently, new exciting developments in oncology have been made in the field of liquid biopsies. In liquid biopsy, samples of blood or other body fluids are analyzed for tumor-derived material. Tumor-derived material comprises cell-free circulating tumor DNA (cf/ctDNA), exosomes released by tumor cells, or circulating tumor cells themselves (CTC). In this review, we highlight the studies that summarize the state of the art in the field of liquid biopsy, and also represent the current challenges which should be addressed in the future to successfully implement liquid biopsy in a clinical setting.</t>
  </si>
  <si>
    <t>[Tanja, Jesenko; Cvetka, Grasic Kuhar; Maja, Cemazar] Onkoloski Inst Ljubljana, Zaloska Cesta 2, Ljubljana 1000, Slovenia; [Maja, Cemazar] Univ Primorskem, Fak Vede Zdravju, Polje 42, Izola 6310, Slovenia</t>
  </si>
  <si>
    <t>Institute of Oncology - Slovenia; University of Primorska</t>
  </si>
  <si>
    <t>Maja, C (corresponding author), Onkoloski Inst Ljubljana, Zaloska Cesta 2, Ljubljana 1000, Slovenia.</t>
  </si>
  <si>
    <t>mcemazar@onko-i.si</t>
  </si>
  <si>
    <t>1408-1741</t>
  </si>
  <si>
    <t>1581-3215</t>
  </si>
  <si>
    <t>10.25670/oi2018-019on</t>
  </si>
  <si>
    <t>WOS:000488855300004</t>
  </si>
  <si>
    <t>Abe, T; Nakashima, C; Sato, A; Harada, Y; Sueoka, E; Kimura, S; Kawaguchi, A; Sueoka-Aragane, N</t>
  </si>
  <si>
    <t>Abe, Tomonori; Nakashima, Chiho; Sato, Akemi; Harada, Yohei; Sueoka, Eisaburo; Kimura, Shinya; Kawaguchi, Atsushi; Sueoka-Aragane, Naoko</t>
  </si>
  <si>
    <t>Origin of circulating free DNA in patients with lung cancer</t>
  </si>
  <si>
    <t>T790M; BLOOD</t>
  </si>
  <si>
    <t>Liquid biopsy has become widely applied in clinical medicine along with the progress in innovative technologies, such as next generation sequencing, but the origin of circulating tumor DNA (ctDNA) has not yet been precisely established. We reported bimodal peaks of long fragment circulating free DNA (cfDNA) of 5 kb and short fragment cfDNA of 170 bp in patients with advanced lung cancer, and both contained ctDNA. In this paper, we demonstrate that the total amount of cfDNA is higher when patients with lung cancer have extrathoracic metastases, and the amount of long fragment cfDNA is significantly higher in those patients. To investigate the origin of long fragment cfDNA, conditioned media isolated from lung cancer cell lines was fractionated. Long fragment cfDNA was found concomitant with extracellular vesicles (EVs), but short fragment cfDNA was not observed in any fractions. However, in peripheral blood from a metastatic animal model both fragments were detected even with those same lung cancer cell lines. In human plasma samples, long fragment cfDNA was observed in the same fraction as that from conditioned media, and short fragment cfDNA existed in the supernatant after centrifugation at 100,000g. Concentration of ctDNA in the supernatant was two times higher than that in plasma isolated by the conventional procedure. Long fragment cfDNA associated with tumor progression might therefore be released into peripheral blood, and it is possible that the long fragment cfDNA escapes degradation by co-existing with EVs. Examination of the biological characteristics of long fragment cfDNA is a logical subject of further investigation.</t>
  </si>
  <si>
    <t>[Abe, Tomonori; Nakashima, Chiho; Harada, Yohei; Kimura, Shinya; Sueoka-Aragane, Naoko] Saga Univ, Fac Med, Dept Internal Med, Div Hematol Resp Med &amp; Oncol, Saga, Japan; [Sato, Akemi; Sueoka, Eisaburo] Saga Univ, Fac Med, Dept Clin Lab Med, Saga, Japan; [Kawaguchi, Atsushi] Saga Univ, Fac Med, Educ &amp; Res Ctr Community Med, Saga, Japan</t>
  </si>
  <si>
    <t>Saga University; Saga University; Saga University</t>
  </si>
  <si>
    <t>Sueoka-Aragane, N (corresponding author), Saga Univ, Fac Med, Dept Internal Med, Div Hematol Resp Med &amp; Oncol, Saga, Japan.</t>
  </si>
  <si>
    <t>sueokan@cc.saga-u.ac.jp</t>
  </si>
  <si>
    <t>e0235611</t>
  </si>
  <si>
    <t>10.1371/journal.pone.0235611; 10.1371/journal.pone.0235611.r001; 10.1371/journal.pone.0235611.r002; 10.1371/journal.pone.0235611.r003; 10.1371/journal.pone.0235611.r004</t>
  </si>
  <si>
    <t>WOS:000550645600029</t>
  </si>
  <si>
    <t>Zhang, ZJ; Song, XG; Xie, L; Wang, KY; Tang, YY; Miao-Yu; Feng, XD; Song, XR</t>
  </si>
  <si>
    <t>Zhang, Zhi-Jun; Song, Xing-Guo; Xie, Li; Wang, Kang-Yu; Tang, You-Yong; Miao-Yu; Feng, Xiao-Dong; Song, Xian-Rang</t>
  </si>
  <si>
    <t>Circulating serum exosomal miR-20b-5p and miR-3187-5p as efficient diagnostic biomarkers for early-stage non-small cell lung cancer</t>
  </si>
  <si>
    <t>EXPERIMENTAL BIOLOGY AND MEDICINE</t>
  </si>
  <si>
    <t>Diagnostic biomarkers; non-small cell lung cancer; circulation; exosomes; miRNAs</t>
  </si>
  <si>
    <t>NONINVASIVE BIOMARKERS; LIQUID BIOPSY; TUMOR; DNA</t>
  </si>
  <si>
    <t>Circulating exosomal microRNAs (ExmiRNAs) provide an ideal non-invasive method for cancer diagnosis. In this study, we evaluated two circulating ExmiRNAs in NSCLC patients as a diagnostic tool for early-stage non-small lung cancer (NSCLC). The exosomes were characterized by qNano, transmission electron microscopy, and Western blot, and the ExmiRNA expression was measured by microarrays. The differentially expressed miRNAs were verified by RT-qPCR using peripheral blood specimens from NSCLC patients (n = 276, 0 and I stage:n = 104) and healthy donors (n = 282). The diagnostic values were measured by receiver operating characteristic (ROC) analysis. The results show that the expression of both ExmiR-20b-5p and ExmiR-3187-5p was drastically reduced in NSCLC patients. The area under the ROC curve (AUC) was determined to be 0.818 and 0.690 for ExmiR-20b-5p and ExmiR-3187-5p, respectively. When these two ExmiRNAs were combined, the AUC increased to 0.848. When the ExmiRNAs were administered with either carcinoembryonic antigen (CEA) or cytokeratin-19-fragment (CYFRA21-1), the AUC was further improved to 0.905 and 0.894, respectively. Additionally, both ExmiR-20b-5p and ExmiR-3187-5p could be used to distinguish early stages NSCLC (0 and I stage) from the healthy controls. The ROC curves showed that the AUCs were 0.810 and 0.673, respectively. Combination of ExmiR-20b-5p and ExmiR-3187-5p enhanced the AUC to 0.838. When CEA and CYFRA21-1 were administered with the ExmiRNAs, the AUCs were improved to 0.930 and 0.928, respectively. In summary, circulating serum exosomal miR-20b-5p and miR-3187-5p could be used as effective, non-invasive biomarkers for the diagnosis of early-stage NSCLC, and the effects were further improved when the ExmiRNAs were combined. Impact statement The high mortality of non-small cell lung cancer (NSCLC) is mainly because the cancer has progressed to a more advanced stage before diagnosis. If NSCLC can be diagnosed at early stages, especially stage 0 or I, the overall survival rate will be largely improved by definitive treatment such as lobectomy. We herein validated two novel circulating serum ExmiRs as diagnostic biomarkers for early-stage NSCLC to fulfill the unmet medical need. Considering the number of specimens in this study, circulating serum exosomal miR-20b-5p and miR-3187-5p are putative NSCLC biomarkers, which need to be further investigated in a larger randomized controlled clinical trial.</t>
  </si>
  <si>
    <t>[Zhang, Zhi-Jun] Shandong Univ, Shandong Canc Hosp &amp; Inst, Cheeloo Coll Med, Dept Clin Lab, Jinan 250117, Shandong, Peoples R China; [Zhang, Zhi-Jun] Taian City Cent Hosp, Dept Clin Lab, Tai An 271000, Shandong, Peoples R China; [Song, Xing-Guo] Shandong First Med Univ, Shandong Canc Hosp &amp; Inst, Shandong Prov Key Lab Radiat Oncol, Tai An 250117, Shandong, Peoples R China; [Song, Xing-Guo; Xie, Li; Wang, Kang-Yu; Tang, You-Yong; Song, Xian-Rang] Shandong Acad Med Sci, Jinan 250117, Shandong, Peoples R China; [Xie, Li; Wang, Kang-Yu; Tang, You-Yong; Song, Xian-Rang] Shandong First Med Univ, Shandong Canc Hosp &amp; Inst, Dept Clin Lab, Tai An 250117, Shandong, Peoples R China; [Miao-Yu] Shandong Univ, Shandong Prov Hosp 3, Cheeloo Coll Med, Dept Clin Lab, Jinan 250031, Shandong, Peoples R China; [Feng, Xiao-Dong] Qingdao Univ, Dept Clin Lab, Affiliated Hosp, Qingdao 266000, Shandong, Peoples R China</t>
  </si>
  <si>
    <t>Shandong First Medical University &amp; Shandong Academy of Medical Sciences; Shandong University; Shandong First Medical University &amp; Shandong Academy of Medical Sciences; Shandong First Medical University &amp; Shandong Academy of Medical Sciences; University of Jinan; Shandong First Medical University &amp; Shandong Academy of Medical Sciences; Shandong University; Qingdao University</t>
  </si>
  <si>
    <t>Song, XR (corresponding author), Shandong Acad Med Sci, Jinan 250117, Shandong, Peoples R China.;Song, XR (corresponding author), Shandong First Med Univ, Shandong Canc Hosp &amp; Inst, Dept Clin Lab, Tai An 250117, Shandong, Peoples R China.</t>
  </si>
  <si>
    <t>basiclab@163.com</t>
  </si>
  <si>
    <t>song, xianrang/0000-0003-1722-8207; Feng, Xiaodong/0000-0003-2700-8304</t>
  </si>
  <si>
    <t>1535-3702</t>
  </si>
  <si>
    <t>1535-3699</t>
  </si>
  <si>
    <t>10.1177/1535370220945987</t>
  </si>
  <si>
    <t>WOS:000555006900001</t>
  </si>
  <si>
    <t>Zhao, CZ; Zhang, GR; Liu, JL; Zhang, CH; Yao, Y; Liao, W</t>
  </si>
  <si>
    <t>Zhao, Chengzhi; Zhang, Geru; Liu, Jialing; Zhang, Chenghao; Yao, Yang; Liao, Wen</t>
  </si>
  <si>
    <t>Exosomal cargoes in OSCC: current findings and potential functions</t>
  </si>
  <si>
    <t>PEERJ</t>
  </si>
  <si>
    <t>Exosomes; Exosomal cargoes; OSCC; Head and neck squamous carcinoma</t>
  </si>
  <si>
    <t>SQUAMOUS-CELL CARCINOMA; STRANDED GENOMIC DNA; EXTRACELLULAR VESICLES; NONCODING RNA; COLORECTAL-CANCER; DENDRITIC CELLS; SERUM EXOSOMES; TUMOR-GROWTH; PROMOTE; EXPRESSION</t>
  </si>
  <si>
    <t>Oral squamous cell carcinoma (OSCC) is the most prevalent malignancy in head and neck cancer, with high recurrence and mortality. Early diagnosis and efficient therapeutic strategies are vital for the treatment of OSCC patients. Exosomes can be isolated from a broad range of different cell types, implicating them as important factors in the regulation of human physiological and pathological processes. Due to their abundant cargo including proteins, lipids, and nucleic acids, exosomes have played a valuable diagnostic and therapeutic role across multiple diseases, including cancer. In this review, we summarize recent findings concerning the content within and participation of exosomes relating to OSCC and their roles in tumorigenesis, proliferation, migration, invasion, metastasis, and chemoresistance. We conclude this review by looking ahead to their potential utility in providing new methods for treating OSCC to inspire further research in this field.</t>
  </si>
  <si>
    <t>[Zhao, Chengzhi; Zhang, Geru; Liu, Jialing; Zhang, Chenghao; Yao, Yang; Liao, Wen] Sichuan Univ, State Key Lab Oral Dis, Chengdu, Sichuan, Peoples R China; [Zhao, Chengzhi; Zhang, Geru] Sichuan Univ, Natl Clin Res Ctr Oral Dis, West China Sch Stomatol, Chengdu, Peoples R China; [Liu, Jialing; Zhang, Chenghao] Sichuan Univ, Natl Clin Res Ctr Oral Dis, West China Sch Stomatol, Dept Orthodont, Chengdu, Sichuan, Peoples R China; [Yao, Yang] Sichuan Univ, West China Hosp Stomatol, Natl Clin Res Ctr Oral Dis, Dept Oral Implantol, Chengdu, Sichuan, Peoples R China; [Liao, Wen] Sichuan Univ, West China Hosp Stomatol, Natl Clin Res Ctr Oral Dis, Dept Orthodont, Chengdu, Sichuan, Peoples R China</t>
  </si>
  <si>
    <t>Sichuan University; Sichuan University; Sichuan University; Sichuan University; Sichuan University</t>
  </si>
  <si>
    <t>Liao, W (corresponding author), Sichuan Univ, State Key Lab Oral Dis, Chengdu, Sichuan, Peoples R China.;Liao, W (corresponding author), Sichuan Univ, West China Hosp Stomatol, Natl Clin Res Ctr Oral Dis, Dept Orthodont, Chengdu, Sichuan, Peoples R China.</t>
  </si>
  <si>
    <t>liaowenssw@126.com</t>
  </si>
  <si>
    <t>Liu, Jialing/0000-0001-5554-0870; Liao, Wen/0000-0002-6861-0054</t>
  </si>
  <si>
    <t>2167-8359</t>
  </si>
  <si>
    <t>NOV 3</t>
  </si>
  <si>
    <t>e10062</t>
  </si>
  <si>
    <t>10.7717/peerj.10062</t>
  </si>
  <si>
    <t>WOS:000584330700001</t>
  </si>
  <si>
    <t>Vogel, R; Pal, AK; Jambhrunkar, S; Patel, P; Thakur, SS; Reategui, E; Parekh, HS; Saa, P; Stassinopoulos, A; Broom, MF</t>
  </si>
  <si>
    <t>Vogel, Robert; Pal, Anoop K.; Jambhrunkar, Siddharth; Patel, Pragnesh; Thakur, Sachin S.; Reategui, Eduardo; Parekh, Harendra S.; Saa, Paula; Stassinopoulos, Adonis; Broom, Murray F.</t>
  </si>
  <si>
    <t>High-Resolution Single Particle Zeta Potential Characterisation of Biological Nanoparticles using Tunable Resistive Pulse Sensing</t>
  </si>
  <si>
    <t>EXTRACELLULAR VESICLES; INDIVIDUAL NANOPARTICLES; MAGNETIC BEADS; SURFACE-CHARGE; DNA; EXOSOMES; SIZE; MEMBRANE; PROTEIN; MICROVESICLES</t>
  </si>
  <si>
    <t>Physicochemical properties of nanoparticles, such as size, shape, surface charge, density, and porosity play a central role in biological interactions and hence accurate determination of these characteristics is of utmost importance. Here we propose tunable resistive pulse sensing for simultaneous size and surface charge measurements on a particle-by-particle basis, enabling the analysis of a wide spectrum of nanoparticles and their mixtures. Existing methodologies for measuring zeta potential of nanoparticles using resistive pulse sensing are significantly improved by including convection into the theoretical model. The efficacy of this methodology is demonstrated for a range of biological case studies, including measurements of mixed anionic, cationic liposomes, extracellular vesicles in plasma, and in situ time study of DNA immobilisation on the surface of magnetic nanoparticles. The high-resolution single particle size and zeta potential characterisation will provide a better understanding of nano-bio interactions, positively impacting nanomedicine development and their regulatory approval.</t>
  </si>
  <si>
    <t>[Vogel, Robert] Univ Queensland, Sch Math &amp; Phys, St Lucia, Qld 4072, Australia; [Pal, Anoop K.; Patel, Pragnesh] Izon Sci US Ltd, 85 Bolton St,STE 108, Cambridge, MA 02140 USA; [Jambhrunkar, Siddharth] Univ Queensland, Translat Res Inst, Mucosal Dis Grp, 37 Kent St, Woolloongabba, Qld 4102, Australia; [Thakur, Sachin S.; Parekh, Harendra S.] Univ Queensland, Sch Pharm, 20 Cornwall St, Woolloongabba, Qld 4102, Australia; [Reategui, Eduardo] Ohio State Univ, William G Lowrie Dept Chem &amp; Biomol Engn, Columbus, OH 43210 USA; [Reategui, Eduardo] Ohio State Univ, Comprehens Canc Ctr, Columbus, OH 43210 USA; [Saa, Paula] Amer Red Cross, Sci Affairs, Rockville, MD 20877 USA; [Stassinopoulos, Adonis] Cerus Corp, Concord, CA 94520 USA; [Broom, Murray F.] Izon Sci Ltd, 8C Homersham Pl,POB 39168, Christchurch 8053, New Zealand</t>
  </si>
  <si>
    <t>University of Queensland; University of Queensland; University of Queensland; Ohio State University; James Cancer Hospital &amp; Solove Research Institute; Ohio State University; American Red Cross; Cerus Corporation</t>
  </si>
  <si>
    <t>Vogel, R (corresponding author), Univ Queensland, Sch Math &amp; Phys, St Lucia, Qld 4072, Australia.</t>
  </si>
  <si>
    <t>robert@izon.com</t>
  </si>
  <si>
    <t>Parekh, Harendra/P-3964-2019; Thakur, Sachin Sunil/AAC-4256-2019; Parekh, Harendra S/D-6846-2011; Saa, Paula/AAB-6607-2019</t>
  </si>
  <si>
    <t>Parekh, Harendra/0000-0001-8792-4318; Thakur, Sachin Sunil/0000-0003-4910-0005; Parekh, Harendra S/0000-0001-8792-4318; Saa, Paula/0000-0001-6077-4532; Reategui, Eduardo/0000-0002-8271-8205</t>
  </si>
  <si>
    <t>DEC 12</t>
  </si>
  <si>
    <t>10.1038/s41598-017-14981-x</t>
  </si>
  <si>
    <t>WOS:000417689400103</t>
  </si>
  <si>
    <t>Avetisova, KG; Kostyuk, SV; Kostyuk, EV; Ershova, ES; Shmarina, GV; Veiko, NN; Spiridonov, DS; Klimenko, PA; Kurtser, MA</t>
  </si>
  <si>
    <t>Avetisova, K. G.; Kostyuk, S., V; Kostyuk, E., V; Ershova, E. S.; Shmarina, G., V; Veiko, N. N.; Spiridonov, D. S.; Klimenko, P. A.; Kurtser, M. A.</t>
  </si>
  <si>
    <t>LEVELS OF CELL-FREE DNA AND DNASE I ACTIVITY IN COMPLICATED AND NORMAL PREGNANCIES</t>
  </si>
  <si>
    <t>cfDNA; DNase I; pregnancy; preeclampsia; IUGR</t>
  </si>
  <si>
    <t>FREE NUCLEIC-ACIDS; MATERNAL PLASMA; FETAL; BLOOD; MARKERS</t>
  </si>
  <si>
    <t>Placental pathology is accompanied by the activation of apoptosis in the trophoblast and the subsequent increase in the concentrations of microvesicles containing placental (or fetal) DNA accumulating in the maternal blood. Fragments of fetal DNA stimulate the release of nuclear and/or mitochondria) DNA fragments by neutrophils. Therefore, one can expect that complicated pregnancies will be characterized by the dramatic elevation of total cell-free DNA (cfDNA) levels in maternal plasma. The aim of this work was to study the dynamics of plasma cfDNA concentrations and the activity of DNase I, an enzyme involved in the elimination of cfDNA from the bloodstream, in nonpregnant and pregnant women. Our study recruited 40 healthy nonpregnant women, 40 women with uncomplicated pregnancies and 35 women with the intrauterine growth restriction (IUGR) of the fetus. We did not observe the elevation of the total cfDNA concentrations in the patients with complicated pregnancies. Moreover, cfDNA concentrations in their plasma were even lower (though this difference was statistically insignificant) than in healthy pregnant and nonpregnant women. The median values of cfDNA concentrations in the group of healthy nonpregnant women were 75.5 ng/ml; in the group of healthy pregnant women, 78.0 ng/ml; and in the patients with IUGR, 42.1 ng/ml. At the same time, we observed a significant increase in DNase I activity in the plasma of women with IUGR. The median DNase I activity in the groups of healthy pregnant and nonpregnant women was 3.0 and 3.4 IU/ml, respectively. In patients with different grades IUGR of the fetus this parameter was as high as 6.3 IU/m1 (p &lt; 0.001). Increased DNase I activity in the plasma of women with complicated pregnancies indirectly suggests a transient elevation of circulating cfDNA levels. Our study shows that the high level of activity exhibited by the cfDNA elimination system impedes the analysis of cfDNA concentrations in complicated pregnancies and skews its results. However, if cfDNA, DNase I activity and the cfDNA/DNase I ratio were all taken into account, it could be possible to develop a tool for the monitoring of cell death in the mother throughout the entire pregnancy.</t>
  </si>
  <si>
    <t>[Avetisova, K. G.; Spiridonov, D. S.; Klimenko, P. A.; Kurtser, M. A.] Pirogov Russian Natl Res Med Univ, Fac Pediat, Dept Obstet &amp; Gynecol, Moscow, Russia; [Kostyuk, S., V; Kostyuk, E., V; Ershova, E. S.; Shmarina, G., V; Veiko, N. N.] Res Ctr Med Genet, Lab Mol Biol, Moscow, Russia</t>
  </si>
  <si>
    <t>Pirogov Russian National Research Medical University; Research Centre for Medical Genetics</t>
  </si>
  <si>
    <t>Avetisova, KG (corresponding author), Sevastopolsky Prospect 24a, Moscow 117209, Russia.</t>
  </si>
  <si>
    <t>c.avetisova2016@yandex.ru</t>
  </si>
  <si>
    <t>Kurtser, Mark/AAD-9432-2021; Spiridonov, Dmitrii/AAG-2008-2021; Ershova, Elizaveta/E-3220-2015; Shmarina, Galina/B-3251-2016</t>
  </si>
  <si>
    <t>Spiridonov, Dmitrii/0000-0001-8391-7436; Ershova, Elizaveta/0000-0003-1206-5832; Shmarina, Galina/0000-0003-4851-8987</t>
  </si>
  <si>
    <t>10.24075/brsmu.2018.041</t>
  </si>
  <si>
    <t>WOS:000453450400011</t>
  </si>
  <si>
    <t>O, WS; Chen, H; Chow, PH</t>
  </si>
  <si>
    <t>O, Wai-sum; Chen, H.; Chow, P. H.</t>
  </si>
  <si>
    <t>Male genital tract antioxidant enzymes - Their ability to preserve sperm DNA integrity</t>
  </si>
  <si>
    <t>MOLECULAR AND CELLULAR ENDOCRINOLOGY</t>
  </si>
  <si>
    <t>sperm; antioxidant enzymes; male accessory sex gland</t>
  </si>
  <si>
    <t>ACCESSORY SEX GLANDS; HUMAN-SPERMATOZOA; ESTROUS-CYCLE; OXYGEN; FERTILIZATION; FERTILITY; MOTILITY; UTERUS; DAMAGE; GLUCOSE-6-PHOSPHATE-DEHYDROGENASE</t>
  </si>
  <si>
    <t>Male germ cells are unique because they lose a bulk of their cytoplasm as cytoplasmic droplets when they develop, leading to a decrease in endogenous antioxidant and hence a dependence on extracellular antioxidant system to overcome oxidative stress. Spermatozoa are particularly vulnerable to oxidative stress because their plasma membrane is rich in polyunsaturated fatty acids and membrane-bound NADPH oxidase. To protect spermatozoa from oxidative attack, an optimal amount of reactive oxygen species is maintained by balancing the reactive oxygen species generated during sperm maturation in the epididymidis and antioxidants in secretions of the male reproductive tract. The male accessory sex glands secretions have been shown to be the major source of antioxidant enzymes in the ejaculate and have the important function of preserving sperm DNA integrity from oxidative stress experienced in the uterine environment. In our in vivo golden hamster model, ablation of the five major male accessory sex glands, namely the ampullary glands, coagulating glands, dorsolateral prostate, ventral prostate and seminal vesicle, was found to cause higher incidence and greater degree of DNA damage in spermatozoa. These damaged sperm are able to undergo fertilization at the same rate as intact ones; however, the outcome of embryos sired is seriously affected. (c) 2005 Elsevier Ireland Ltd. All rights reserved.</t>
  </si>
  <si>
    <t>Univ Hong Kong, Dept Anat, Hong Kong, Hong Kong, Peoples R China; Chinese Univ Hong Kong, Hong Kong, Hong Kong, Peoples R China</t>
  </si>
  <si>
    <t>University of Hong Kong; Chinese University of Hong Kong</t>
  </si>
  <si>
    <t>O, WS (corresponding author), Univ Hong Kong, Dept Anat, 21 Sassoon Rd, Hong Kong, Hong Kong, Peoples R China.</t>
  </si>
  <si>
    <t>owaisum@hkucc.hku.hk</t>
  </si>
  <si>
    <t>O, Wai Sum/C-4376-2009</t>
  </si>
  <si>
    <t>CHEN, HONG/0000-0002-0516-216X</t>
  </si>
  <si>
    <t>0303-7207</t>
  </si>
  <si>
    <t>1872-8057</t>
  </si>
  <si>
    <t>MAY 16</t>
  </si>
  <si>
    <t>1-2</t>
  </si>
  <si>
    <t>10.1016/j.mce.2005.12.029</t>
  </si>
  <si>
    <t>Cell Biology; Endocrinology &amp; Metabolism</t>
  </si>
  <si>
    <t>WOS:000238020900012</t>
  </si>
  <si>
    <t>Bartolome-Nebreda, J; Vargas-Baquero, E; Lopez-Fernandez, C; Fernandez, JL; Johnston, S; Gosalvez, J</t>
  </si>
  <si>
    <t>Bartolome-Nebreda, Javier; Vargas-Baquero, Eduardo; Lopez-Fernandez, Carmen; Luis Fernandez, Jose; Johnston, Stephen; Gosalvez, Jaime</t>
  </si>
  <si>
    <t>Free circulating DNA and DNase activity in the ejaculates of men with spinal cord injury</t>
  </si>
  <si>
    <t>SPINAL CORD</t>
  </si>
  <si>
    <t>CELL-FREE DNA; SEMEN CHARACTERISTICS; EXOSOMES; CANCER; PLASMA</t>
  </si>
  <si>
    <t>Study design Retrospective descriptive study. Objectives To study the presence of cell-free DNA (cfDNA) and DNase activity in males with spinal cord injury (SCI) with elevated sperm DNA fragmentation. Setting Hospital in Toledo, Spain; University-based Genetics laboratory in Madrid, Spain. Methods Semen was collected from 15 males with spinal cord injury and elevated sperm DNA fragmentation (SDF). The presence and concentration of cfDNA was assessed using standard gel electrophoresis and microfluidic electrophoresis. DNase activity was evaluated in seminal plasma and under the presence of EDTA and EGTA to control the response of enzyme activity. cfDNA fragments were mapped on the sperm genome using FISH. All results were compared to 15 normozoospermic fertile donors. Results Standard gel electrophoresis revealed a cfDNA band of similar to 150 bp in all samples from males with SCI; this band was ocasionally accompanied by another band of -90 bp. These bands were not observed in normozoospermic donors. Microfluidid electrophoresis only identified the equivalent band of 150 bp. No correlation was observed between the intensity of the two bands and the level of SDF in males with SCI. Although DNase activity was present in the seminal plasma of both normozoospermic donors and men with SCI it did not digest cfDNA. cfDNA fragments were found to be hybridized all over the sperm genome. Conclusions SCI patients with elevated sperm DNA fragmentation showed a 150 bp DNA band of cfDNA in the seminal plasma, which appeared resistant to DNase activity.</t>
  </si>
  <si>
    <t>[Bartolome-Nebreda, Javier; Lopez-Fernandez, Carmen; Gosalvez, Jaime] Univ Autonoma Madrid, Dept Biol, Unit Genet, Madrid, Spain; [Bartolome-Nebreda, Javier; Lopez-Fernandez, Carmen; Gosalvez, Jaime] Halotech DNA, Madrid 28049, Spain; [Vargas-Baquero, Eduardo] Hosp Nacl Paraplej Toledo, Sexual &amp; Fertil Unit, Toledo, Spain; [Luis Fernandez, Jose] Complexo Hosp Univ A Corona CHUAC, INIBIC, Genet Unit, As Xubias 84, A Corona 15006, Spain; [Johnston, Stephen] Univ Queensland, Sch Agr &amp; Food Sci, Gatton, Qld, Australia</t>
  </si>
  <si>
    <t>Autonomous University of Madrid; Hospital Nacional de Paraplejicos; Universidade da Coruna; Instituto de Investigacion Biomedica de A Coruna (INIBIC); University of Queensland</t>
  </si>
  <si>
    <t>Johnston, S (corresponding author), Univ Queensland, Sch Agr &amp; Food Sci, Gatton, Qld, Australia.</t>
  </si>
  <si>
    <t>s.johnston1@uq.edu.au</t>
  </si>
  <si>
    <t>Johnston, Stephen/0000-0002-0290-5458; Vargas-Baquero, Eduardo/0000-0003-2831-5779</t>
  </si>
  <si>
    <t>1362-4393</t>
  </si>
  <si>
    <t>1476-5624</t>
  </si>
  <si>
    <t>10.1038/s41393-020-0518-3</t>
  </si>
  <si>
    <t>JUL 2020</t>
  </si>
  <si>
    <t>Clinical Neurology; Rehabilitation</t>
  </si>
  <si>
    <t>Neurosciences &amp; Neurology; Rehabilitation</t>
  </si>
  <si>
    <t>WOS:000547240600001</t>
  </si>
  <si>
    <t>Wang, HZ; He, DG; Wan, KJ; Sheng, XW; Cheng, H; Huang, J; Zhou, X; He, XX; Wang, KM</t>
  </si>
  <si>
    <t>Wang, Huizhen; He, Dinggeng; Wan, Kejing; Sheng, Xiaowu; Cheng, Hong; Huang, Jin; Zhou, Xiao; He, Xiaoxiao; Wang, Kemin</t>
  </si>
  <si>
    <t>In situ multiplex detection of serum exosomal microRNAs using an all-in-one biosensor for breast cancer diagnosis</t>
  </si>
  <si>
    <t>QUANTIFICATION</t>
  </si>
  <si>
    <t>Herein, a simple all-in-one biosensor based on a DNA three-way junction has been constructed for in situ simultaneous detection of multiple miRNAs by competitive strand displacement. In our design, three oligonucleotides (Y1, Y2 and Y3) of a Y-type scaffold were extended at their 5 ' ends by introducing three single-stranded recognition sequences with quenchers (BHQ1, BHQ2 and BHQ2), respectively. Subsequently, three reporter sequences labeled with different fluorophores (FAM, Cy3 and Cy5) were bound to the corresponding recognition sequences to form a multicolour DNA biosensor that gives self-quenched fluorescence. The biosensor can effectively enter into exosomes and then hybridize to the complementary miRNA targets to form longer duplexes and release the reporter sequences, thus activating the readable fluorescence signals for the simultaneous detection of multiple miRNAs in exosomes. As a proof of principle, miR-21, miR-27a and miR-375 were chosen as model targets because of their high expressions in breast cancer cells (MCF-7). Fluorescence signals of MCF-7 exosomes after being treated with the biosensor exhibited positive correlations to their concentrations and the limits of detection were determined to be 0.116 mu g mL(-1), 0.125 mu g mL(-1) and 0.287 mu g mL(-1) for exosomes by detecting three exosomal miRNAs (miR-21, miR-27a and miR-375), respectively. In contrast, there were no obvious correlations between fluorescence intensities and control MCF-10A exosome concentrations. Importantly, by testing multiple exosomal miRNAs using the biosensor in clinical serum samples, breast cancer patients can be effectively differentiated from healthy donors. Consequently, the developed biosensor demonstrates high potential as a routine bioassay for the multiplex quantification of exosomal miRNAs in clinical diagnosis.</t>
  </si>
  <si>
    <t>[Wang, Huizhen; He, Dinggeng; Wan, Kejing; Cheng, Hong; Huang, Jin; He, Xiaoxiao; Wang, Kemin] Hunan Univ, Coll Biol, Coll Chem &amp; Chem Engn, State Key Lab Chemo Biosensing &amp; Chemometr,Key La, Changsha 410082, Peoples R China; [Sheng, Xiaowu; Zhou, Xiao] Cent South Univ, Hunan Canc Hosp, Natl Tissue Engn Ctr China, Cent Lab,Hunan Branch Ctr, Changsha, Hunan, Peoples R China; [Sheng, Xiaowu; Zhou, Xiao] Cent South Univ, Affiliated Canc Hosp, Xiangya Sch Med, Changsha, Hunan, Peoples R China</t>
  </si>
  <si>
    <t>Hunan University; Central South University; Central South University</t>
  </si>
  <si>
    <t>He, XX; Wang, KM (corresponding author), Hunan Univ, Coll Biol, Coll Chem &amp; Chem Engn, State Key Lab Chemo Biosensing &amp; Chemometr,Key La, Changsha 410082, Peoples R China.;Zhou, X (corresponding author), Cent South Univ, Hunan Canc Hosp, Natl Tissue Engn Ctr China, Cent Lab,Hunan Branch Ctr, Changsha, Hunan, Peoples R China.;Zhou, X (corresponding author), Cent South Univ, Affiliated Canc Hosp, Xiangya Sch Med, Changsha, Hunan, Peoples R China.</t>
  </si>
  <si>
    <t>cccdon@163.com; xiaoxiaohe@hnu.edu.cn; kmwang@hnu.edu.cn</t>
  </si>
  <si>
    <t>10.1039/d0an00393j</t>
  </si>
  <si>
    <t>WOS:000532257200009</t>
  </si>
  <si>
    <t>Jeong, H; Choi, BH; Park, J; Jung, JH; Shin, H; Kang, KW; Quan, YH; Yu, J; Park, JH; Park, Y; Choi, Y; Kim, HK; Hong, S</t>
  </si>
  <si>
    <t>Jeong, Hyesun; Choi, Byeong Hyeon; Park, JinA; Jung, Jik-Han; Shin, Hyunku; Kang, Ka-Won; Quan, Yu Hua; Yu, Jewon; Park, Ji-Ho; Park, Yong; Choi, Yeonho; Kim, Hyun Koo; Hong, Sunghoi</t>
  </si>
  <si>
    <t>GCC2 as a New Early Diagnostic Biomarker for Non-Small Cell Lung Cancer</t>
  </si>
  <si>
    <t>exosomes; non-small cell lung cancer; GCC2; biomarkers; early detection; liquid biopsy; cancer</t>
  </si>
  <si>
    <t>LIQUID BIOPSY; GCC185; EXOSOMES; MAINTENANCE; GUIDELINES; PROTEINS; RECEPTOR; GOLGIN; DNA</t>
  </si>
  <si>
    <t>Simple Summary Lung cancer, including non-small cell lung cancer, is the leading cause of cancer-related death worldwide. A better prognosis is associated with early diagnosis of lung cancer patients. Although annual screening guidelines for lung cancer are recommended, using various tools such as chest X-ray, low-dose computed tomography, and positron emission tomography, these screening procedures are expensive and difficult to repeat. They are also invasive and have a high risk of radiation exposure. Therefore, a low-risk, convenient diagnostic method using liquid biopsy and biomarkers is required for the early diagnosis of lung cancer. The newly proposed biomarker GCC2 was identified through proteomic analysis of exosomes secreted from lung cancer cell lines. GCC2 expression levels in peripheral blood of the patients showed high specificity and sensitivity in early lung cancer, demonstrating that our novel exosomal biomarker GCC2 can greatly contribute to improving the diagnosis of lung cancer patients, even though it has been tested in only a few pilot studies. No specific markers have been identified to detect non-small cell lung cancer (NSCLC) cell-derived exosomes circulating in the blood. Here, we report a new biomarker that distinguishes between cancer and non-cancer cell-derived exosomes. Exosomes isolated from patient plasmas at various pathological stages of NSCLC, NSCLC cell lines, and human pulmonary alveolar epithelial cells isolated using size exclusion chromatography were characterized. The GRIP and coiled-coil domain-containing 2 (GCC2) protein, involved in endosome-to-Golgi transport, was identified by proteomics analysis of NSCLC cell line-derived exosomes. GCC2 protein levels in the exosomes derived from early-stage NSCLC patients were higher than those from healthy controls. Receiver operating characteristic curve analysis revealed the diagnostic sensitivity and specificity of exosomal GCC2 to be 90% and 75%, respectively. A high area under the curve, 0.844, confirmed that GCC2 levels could effectively distinguish between the exosomes. These results demonstrate GCC2 as a promising early diagnostic biomarker for NSCLC.</t>
  </si>
  <si>
    <t>[Jeong, Hyesun; Park, JinA; Hong, Sunghoi] Korea Univ, Sch Biosyst &amp; Biomed Sci, Seoul 02841, South Korea; [Jeong, Hyesun; Park, JinA; Choi, Yeonho; Hong, Sunghoi] Korea Univ, BK21 FOUR R&amp;E Ctr Precis Publ Hlth, Grad Sch, Seoul 02855, South Korea; [Choi, Byeong Hyeon] Korea Univ, Korea Artificial Organ Ctr, Seoul 02841, South Korea; [Choi, Byeong Hyeon; Quan, Yu Hua; Kim, Hyun Koo] Korea Univ, Guro Hosp, Coll Med, Dept Thorac &amp; Cardiovasc Surg, Seoul 08308, South Korea; [Jung, Jik-Han; Park, Ji-Ho] Korea Adv Inst Sci &amp; Technol KAIST, Dept Bio &amp; Brain Engn, Daejeon 34141, South Korea; [Shin, Hyunku; Choi, Yeonho] Korea Univ, Dept Bioconvergence Engn, Seoul 02841, South Korea; [Kang, Ka-Won; Park, Yong] Korea Univ, Dept Internal Med, Div Hematol Oncol, Coll Med, Seoul 02841, South Korea; [Quan, Yu Hua; Kim, Hyun Koo] Korea Univ, Coll Med, Dept Biomed Sci, Seoul 02841, South Korea; [Yu, Jewon] Exopert Corp, 4th Floor, Seoul 02580, South Korea</t>
  </si>
  <si>
    <t>Korea University; Korea University; Korea University; Korea University; Korea University Medicine (KU Medicine); Korea Advanced Institute of Science &amp; Technology (KAIST); Korea University; Korea University; Korea University Medicine (KU Medicine); Korea University; Korea University Medicine (KU Medicine)</t>
  </si>
  <si>
    <t>Hong, S (corresponding author), Korea Univ, Sch Biosyst &amp; Biomed Sci, Seoul 02841, South Korea.;Hong, S (corresponding author), Korea Univ, BK21 FOUR R&amp;E Ctr Precis Publ Hlth, Grad Sch, Seoul 02855, South Korea.;Kim, HK (corresponding author), Korea Univ, Guro Hosp, Coll Med, Dept Thorac &amp; Cardiovasc Surg, Seoul 08308, South Korea.;Kim, HK (corresponding author), Korea Univ, Coll Med, Dept Biomed Sci, Seoul 02841, South Korea.</t>
  </si>
  <si>
    <t>lullaby0810@gmail.com; baby2music@gmail.com; 2020020815@korea.ac.kr; jjhan@kaist.ac.kr; ramgee91@gmail.com; ggm1018@gmail.com; hwa1983418@gmail.com; jewon@exopert.com; jihopark@kaist.ac.kr; paark76@korea.ac.kr; yeonhochoi@korea.ac.kr; kimhyunkoo@korea.ac.kr; shong21@korea.ac.kr</t>
  </si>
  <si>
    <t>Shin, Hyunku/0000-0001-8590-3468; Park, Ji Ho/0000-0002-0721-0428; Kim, Hyun Koo/0000-0001-7604-4729; Kang, Ka-Won/0000-0003-1462-0502; Hong, Sunghoi/0000-0003-4926-1044; Jeong, Hyesun/0000-0001-6600-8548; Jeon, Ok Hwa/0000-0002-6620-1388</t>
  </si>
  <si>
    <t>10.3390/cancers13215482</t>
  </si>
  <si>
    <t>WOS:000718347400001</t>
  </si>
  <si>
    <t>Zhang, J; Wang, LL; Hou, MF; Xia, YK; He, WH; Yan, A; Weng, YP; Zeng, LP; Chen, JH</t>
  </si>
  <si>
    <t>Zhang, Jing; Wang, Liang-Liang; Hou, Mei-Feng; Xia, Yao-Kun; He, Wen-Hui; Yan, An; Weng, Yun-Ping; Zeng, Lu-Peng; Chen, Jing-Hua</t>
  </si>
  <si>
    <t>A ratiometric electrochemical biosensor for the exosomal microRNAs detection based on bipedal DNA walkers propelled by locked nucleic acid modified toehold mediate strand displacement reaction</t>
  </si>
  <si>
    <t>Ratiometric electrochemical biosensor; Exosomal miRNAs; Bipedal DNA walker; Locked nucleic acid; Toehold mediate strand displacement reaction</t>
  </si>
  <si>
    <t>DIAGNOSTIC BIOMARKERS; SIGNAL AMPLIFICATION; BREAST-CANCER; PROBE; RNA; PERFORMANCE; KINETICS; SENSORS; SURFACE; MARKER</t>
  </si>
  <si>
    <t>Sensitive and selective detection of microRNAs (miRNAs) in cancer cells derived exosomes have attracted rapidly growing interest owing to their potential in diagnostic and prognostic applications. Here, we design a ratiometric electrochemical biosensor based on bipedal DNA walkers for the attomolar detection of exosomal miR-21. In the presence of miR-21, DNA walkers are activated to walk continuously along DNA tracks, resulting in conformational changes as well as considerable increases of the signal ratio produced by target-respond and target-independent reporters. With the signal cascade amplification of DNA walkers, the biosensor exhibits ultrahigh sensitivity with the limit of detection (LOD) down to 67 aM. Furthermore, owing to the background correcting function of target-independent reporters termed as reference reporters, the biosensor is robust and stable enough to be applied in the detection of exosomal miR-21 extracted from breast cancer cell lines and serums. In addition, because locked nucleic acid (LNA) modified toehold mediate strand displacement reaction (TMSDR) has extraordinary discriminative ability, the biosensor displays excellent selectivity even against the single-base-mismatched target. It is worth mentioning that our sensor is regenerative and stable for at least 5 cycles without diminution in sensitivity. In brief, the high sensitivity, selectivity and reproducibility, together with cheap, make the proposed biosensor a promising approach for exosomal miRNAs detection, in conjunction with early point-of-care testing (POCT) of cancer.</t>
  </si>
  <si>
    <t>[Zhang, Jing; Hou, Mei-Feng] Fujian Agr &amp; Forestry Univ, Coll Life Sci, Fuzhou 350002, Fujian, Peoples R China; [Wang, Liang-Liang; Xia, Yao-Kun; He, Wen-Hui; Yan, An; Weng, Yun-Ping; Zeng, Lu-Peng; Chen, Jing-Hua] Fujian Med Univ, Sch Pharm, Dept Pharmaceut Anal, Fuzhou 350108, Fujian, Peoples R China</t>
  </si>
  <si>
    <t>Fujian Agriculture &amp; Forestry University; Fujian Medical University</t>
  </si>
  <si>
    <t>Chen, JH (corresponding author), Fujian Med Univ, Sch Pharm, Dept Pharmaceut Anal, Fuzhou 350108, Fujian, Peoples R China.</t>
  </si>
  <si>
    <t>cjh_huaxue@126.com</t>
  </si>
  <si>
    <t>Chen, Jing-Hua/J-5171-2019</t>
  </si>
  <si>
    <t>10.1016/j.bios.2017.10.050</t>
  </si>
  <si>
    <t>WOS:000424176600005</t>
  </si>
  <si>
    <t>Hellum, M; Troseid, AMS; Berg, JP; Brandtzaeg, P; Ovstebo, R; Henriksson, CE</t>
  </si>
  <si>
    <t>Hellum, Marit; Troseid, Anne-Marie S.; Berg, Jens P.; Brandtzaeg, Petter; Ovstebo, Reidun; Henriksson, Carola E.</t>
  </si>
  <si>
    <t>The Neisseria meningitidis lpxL1 mutant induces less tissue factor expression and activity in primary human monocytes and monocyte-derived microvesicles than the wild type meningococcus</t>
  </si>
  <si>
    <t>INNATE IMMUNITY</t>
  </si>
  <si>
    <t>Microvesicles; monocytes; Neisseria meningitidis; lpxL1 mutant; sepsis; tissue factor</t>
  </si>
  <si>
    <t>GENE-EXPRESSION; LIPID-A; PLASMA; LPS; LIPOPOLYSACCHARIDES; TOXICITY; BLOOD; DNA</t>
  </si>
  <si>
    <t>Neisseria meningitidis (N. meningitidis) may cause sepsis and meningitis. N. meningitidis with a mutated lpxL1 gene has five, instead of six, acyl chains in the lipid A moiety. Compared with patients infected with the wild type (wt) meningococcus, patients infected with the lpxL1 mutant have a mild meningococcal disease with less systemic inflammation and less coagulopathy. Circulating tissue factor (TF), the main initiator of coagulation, has a central role in the development of coagulation disturbances during sepsis. To study how TF was influenced by the lpxL1 mutant, human primary monocytes and whole blood were incubated with the lpxL1 mutant or the wt meningococcus (H44/76). Monocyte and microvesicle (MV)-associated TF expression and TF-dependent thrombin generation were measured. In both purified monocytes and whole blood, our data show that the lpxL1 mutant is a weaker inducer of monocyte and MV-associated TF compared with the wt. Our data indicate that low levels of circulating TF may contribute to the reduced coagulopathy reported in patients infected with lpxL1 mutants.</t>
  </si>
  <si>
    <t>[Hellum, Marit; Berg, Jens P.; Brandtzaeg, Petter; Henriksson, Carola E.] Univ Oslo, Inst Clin Med, Oslo, Norway; [Hellum, Marit; Troseid, Anne-Marie S.; Berg, Jens P.; Brandtzaeg, Petter; Ovstebo, Reidun; Henriksson, Carola E.] Oslo Univ Hosp, Dept Med Biochem, Kirkeveien 166, N-0407 Oslo, Norway</t>
  </si>
  <si>
    <t>University of Oslo; University of Oslo</t>
  </si>
  <si>
    <t>Hellum, M (corresponding author), Oslo Univ Hosp, Dept Med Biochem, Kirkeveien 166, N-0407 Oslo, Norway.</t>
  </si>
  <si>
    <t>m.s.hellum@medisin.uio.no</t>
  </si>
  <si>
    <t>Berg, Jens P/G-1455-2012</t>
  </si>
  <si>
    <t>Berg, Jens P/0000-0003-0157-5888</t>
  </si>
  <si>
    <t>1753-4259</t>
  </si>
  <si>
    <t>1753-4267</t>
  </si>
  <si>
    <t>10.1177/1753425916684201</t>
  </si>
  <si>
    <t>Biochemistry &amp; Molecular Biology; Immunology; Medicine, Research &amp; Experimental; Microbiology</t>
  </si>
  <si>
    <t>Biochemistry &amp; Molecular Biology; Immunology; Research &amp; Experimental Medicine; Microbiology</t>
  </si>
  <si>
    <t>WOS:000398223400009</t>
  </si>
  <si>
    <t>Wang, S; Li, L; Hu, XT; Liu, T; Jiang, WY; Wu, RB; Ren, YC; Wang, M</t>
  </si>
  <si>
    <t>Wang, Shuo; Li, Liu; Hu, Xitian; Liu, Tao; Jiang, Wenyan; Wu, Rubing; Ren, Yanchun; Wang, Mei</t>
  </si>
  <si>
    <t>Effects of Atrial Fibrillation-Derived Exosome Delivery of miR-107 to Human Umbilical Vein Endothelial Cells</t>
  </si>
  <si>
    <t>atrial fibrillation; exosomes; miR-107; ubiquitin specific peptidase 14 (USP14); human umbilical vein endothelial cells</t>
  </si>
  <si>
    <t>HEART-FAILURE PATIENTS</t>
  </si>
  <si>
    <t>The aim of this study was to explore the effects of atrial fibrillation (AF)-derived exosome delivery of miR-107 to human umbilical vein endothelial cells (HUVECs) and its related mechanisms. Exosomes were isolated from the plasma of patients with AF and healthy controls, followed by characterization. The expression levels of miR-320d, miR-103a-3p, and miR-107 were measured using real-time quantitative PCR (RT-qPCR). The dual-luciferase reporter gene was used to verify the downstream target of miR-107. Afterward, HUVECs were treated with AF-derived exosomes or transfected with miR-107 mimics. After cell culture, Cell Counting Kit-8, Transwell, and flow cytometry were used to determine cell viability, migration, and apoptosis and cell cycle phase. Finally, RT-qPCR was performed to examine the expression of related genes. NanoSight, transmission electron microscopy, and western blotting showed that exosomes were successfully isolated, and that AF-derived exosomes could be taken up by HUVECs. The expression of miR-107 was significantly higher in AF-derived exosomes than in normal exosomes (p &lt; 0.05). USP14 was shown to be the direct target of miR-107. In addition, miR-107 mimics and AF-derived exosomes significantly suppressed cell viability and migration (p &lt; 0.05) and enhanced cell apoptosis; they also increased G0/G1-phase cells and reduced S-phase cells. RT-qPCR showed that exosomal miR-107 overexpression significantly downregulated the expression of USP14 and Bcl2 (p &lt; 0.05), whereas it markedly upregulated the expression of ERK2, FAK, and Bax (p &lt; 0.05). AF-derived exosomes can deliver miR-107 to HUVECs, and exosomal miR-107 may regulate cell viability, migration, and apoptosis and cell cycle progression by mediating the miR-107/USP14 pathway.</t>
  </si>
  <si>
    <t>[Wang, Shuo; Liu, Tao; Jiang, Wenyan] Hebei Med Univ, Dept Cardiol, Shijiazhuang, Hebei, Peoples R China; [Wang, Shuo; Hu, Xitian; Wu, Rubing; Ren, Yanchun] Shijiazhuang Peoples Hosp, Dept Cardiol, Shijiazhuang, Hebei, Peoples R China; [Li, Liu] Hebei Med Univ, Dept Cardiol, Hosp 1, Shijiazhuang, Hebei, Peoples R China; [Wang, Mei] Hebei Med Univ, Dept Cardiol, Hosp 2, 361 Zhongshan East Rd, Shijiazhuang 050000, Hebei, Peoples R China</t>
  </si>
  <si>
    <t>Hebei Medical University; Hebei Medical University; Hebei Medical University</t>
  </si>
  <si>
    <t>Wang, M (corresponding author), Hebei Med Univ, Dept Cardiol, Hosp 2, 361 Zhongshan East Rd, Shijiazhuang 050000, Hebei, Peoples R China.</t>
  </si>
  <si>
    <t>wangmei7341@163.com</t>
  </si>
  <si>
    <t>10.1089/dna.2020.6356</t>
  </si>
  <si>
    <t>WOS:000625292900001</t>
  </si>
  <si>
    <t>Casarotto, E; Sproviero, D; Corridori, E; Gagliani, MC; Cozzi, M; Chierichetti, M; Cristofani, R; Ferrari, V; Galbiati, M; Mina, F; Piccolella, M; Rusmini, P; Tedesco, B; Gagliardi, S; Cortese, K; Cereda, C; Poletti, A; Crippa, V</t>
  </si>
  <si>
    <t>Casarotto, Elena; Sproviero, Daisy; Corridori, Eleonora; Gagliani, Maria Cristina; Cozzi, Marta; Chierichetti, Marta; Cristofani, Riccardo; Ferrari, Veronica; Galbiati, Mariarita; Mina, Francesco; Piccolella, Margherita; Rusmini, Paola; Tedesco, Barbara; Gagliardi, Stella; Cortese, Katia; Cereda, Cristina; Poletti, Angelo; Crippa, Valeria</t>
  </si>
  <si>
    <t>Neurodegenerative Disease-Associated TDP-43 Fragments Are Extracellularly Secreted with CASA Complex Proteins</t>
  </si>
  <si>
    <t>amyotrophic lateral sclerosis (ALS); frontotemporal lobar degeneration (FTLD); transactive response DNA-binding protein 43 (TDP-43); extracellular vesicles (EVs); chaperone-assisted selective autophagy (CASA); heat shock protein 70 (HSP70); small heat shock protein B8 (HSPB8); Bcl-2 associated athanogene 3 (BAG3)</t>
  </si>
  <si>
    <t>FRONTOTEMPORAL LOBAR DEGENERATION; MISFOLDED PROTEINS; AUTOPHAGIC REMOVAL; B8 HSPB8; VESICLES; EXOSOMES; CLEARANCE; SYSTEM; CELLS; BAG3</t>
  </si>
  <si>
    <t>Extracellular vesicles (EVs) play a central role in neurodegenerative diseases (NDs) since they may either spread the pathology or contribute to the intracellular protein quality control (PQC) system for the cellular clearance of NDs-associated proteins. Here, we investigated the crosstalk between large (LVs) and small (SVs) EVs and PQC in the disposal of TDP-43 and its FTLD and ALS-associated C-terminal fragments (TDP-35 and TDP-25). By taking advantage of neuronal cells (NSC-34 cells), we demonstrated that both EVs types, but particularly LVs, contained TDP-43, TDP-35 and TDP-25. When the PQC system was inhibited, as it occurs in NDs, we found that TDP-35 and TDP-25 secretion via EVs increased. In line with this observation, we specifically detected TDP-35 in EVs derived from plasma of FTLD patients. Moreover, we demonstrated that both neuronal and plasma-derived EVs transported components of the chaperone-assisted selective autophagy (CASA) complex (HSP70, BAG3 and HSPB8). Neuronal EVs also contained the autophagy-related MAP1LC3B-II protein. Notably, we found that, under PQC inhibition, HSPB8, BAG3 and MAP1LC3B-II secretion paralleled that of TDP-43 species. Taken together, our data highlight the role of EVs, particularly of LVs, in the disposal of disease-associated TDP-43 species, and suggest a possible new role for the CASA complex in NDs.</t>
  </si>
  <si>
    <t>[Casarotto, Elena; Corridori, Eleonora; Cozzi, Marta; Chierichetti, Marta; Cristofani, Riccardo; Ferrari, Veronica; Galbiati, Mariarita; Mina, Francesco; Piccolella, Margherita; Rusmini, Paola; Tedesco, Barbara; Poletti, Angelo; Crippa, Valeria] Univ Studi Milano, Dept Excellence 2018 2022, Dipartimento Scienze Farmacologiche &amp; Biomolecol, Via Balzaretti 9, I-20133 Milan, Italy; [Sproviero, Daisy; Gagliardi, Stella; Cereda, Cristina] IRCCS Mondino Fdn, Genom &amp; PostGen Ctr, Via Mondino 2, I-27100 Pavia, Italy; [Gagliani, Maria Cristina; Cortese, Katia] Univ Genoa, Dept Expt Med DIMES, Cellular Elect Microscopy Lab, Via Antonio Toni 14, I-16132 Genoa, Italy; [Tedesco, Barbara] Fdn IRCCS Ist Neurol Carlo Besta, Unit Med Genet &amp; Neurogenet, Via Celoria 11, I-20133 Milan, Italy</t>
  </si>
  <si>
    <t>University of Milan; IRCCS Fondazione Casimiro Mondino; University of Genoa; IRCCS Istituto Neurologico Besta</t>
  </si>
  <si>
    <t>Crippa, V (corresponding author), Univ Studi Milano, Dept Excellence 2018 2022, Dipartimento Scienze Farmacologiche &amp; Biomolecol, Via Balzaretti 9, I-20133 Milan, Italy.</t>
  </si>
  <si>
    <t>elena.casarotto@unimi.it; daisy.sproviero@mondino.it; eleonora.corridori@unimi.it; gagliani@unige.it; marta.cozzi@unimi.it; marta.chierichetti@unimi.it; riccardo.cristofani@unimi.it; veronica.ferrari@unimi.it; rita.galbiati@unimi.it; francesco.mina@unimi.it; margherita.piccolella@unimi.it; paola.rusmini@unimi.it; barbara.tedesco@unimi.it; stella.gagliardi@mondino.it; katia.cortese@unige.it; cristina.cereda@asst-fbf-sacco.it; angelo.poletti@unimi.it; valeria.crippa@unimi.it</t>
  </si>
  <si>
    <t>CEREDA, CRISTINA/G-8208-2011; Galbiati, Mariarita/C-1033-2016; Poletti, Angelo/A-9016-2011; Cristofani, Riccardo/P-1245-2014</t>
  </si>
  <si>
    <t>CEREDA, CRISTINA/0000-0001-9571-0862; Cortese, Katia/0000-0001-9218-8933; RUSMINI, PAOLA/0000-0001-9989-0733; Galbiati, Mariarita/0000-0003-3250-5591; Sproviero, Daisy/0000-0001-5061-683X; Casarotto, Elena/0000-0002-3842-8243; Chierichetti, Marta/0000-0003-0549-0742; Poletti, Angelo/0000-0002-8883-0468; Gagliardi, Stella/0000-0002-6589-6907; Cristofani, Riccardo/0000-0003-2719-846X; Piccolella, Margherita/0000-0002-5130-1116; Cozzi, Marta/0000-0001-9428-7054; CRIPPA, VALERIA/0000-0002-3058-5711</t>
  </si>
  <si>
    <t>10.3390/cells11030516</t>
  </si>
  <si>
    <t>WOS:000759572400001</t>
  </si>
  <si>
    <t>Cerne, K; Kobal, B</t>
  </si>
  <si>
    <t>Iglic, A</t>
  </si>
  <si>
    <t>Cerne, Katarina; Kobal, Borut</t>
  </si>
  <si>
    <t>Implications of Microvesicle and Cell Surface Protein Shedding for Biomarker Studies, Cancerogenesis, and Therapeutic Target Discovery in Ovarian Cancer</t>
  </si>
  <si>
    <t>ADVANCES IN PLANAR LIPID BILAYERS AND LIPOSOMES, VOL 16</t>
  </si>
  <si>
    <t>Advances in Planar Lipid Bilayers and Liposomes</t>
  </si>
  <si>
    <t>TUMOR-DERIVED EXOSOMES; CARCINOMA CELLS; MATRIX-METALLOPROTEINASE; PROGNOSTIC-SIGNIFICANCE; MEMBRANE-VESICLES; IN-VITRO; MATRIX-METALLOPROTEINASE-9 MMP-9; ADHESION MOLECULE; PANCREATIC-CANCER; RELEASED EXOSOMES</t>
  </si>
  <si>
    <t>Ovarian cancer is one of the most aggressive and lethal cancers in women. There is currently no accurate noninvasive diagnostic test for ovarian cancer; most patients are diagnosed at an advanced stage, presenting with peritoneal metastasis and ascites. Although ovarian cancer patients often respond initially to chemotherapy, recurrence is almost always accompanied by chemoresistance. The identification of proteins that are abundantly and predominantly expressed in ovarian cancer is therefore relevant to diagnosis, tumor imaging, and targeted therapies. Proteins with high secretion rates or proteins that are extensively cleaved from the cell surface, specifically from tumor cells, are a potential source of circulating biomarkers for ovarian cancer. The process of surface protein shedding as observed in ascites-derived tumor cells from ovarian cancer patients is also relevant to tumor invasion and metastasis, as exemplified by the role of cadherin. Additionally, proteins, as well as lipids, DNA, and RNA, can reach the blood in microvesicles that are shed from tumor cells. A roughly fivefold increase in their blood concentration is reported in ovarian cancer patients. Tumor-derived vesicles are fully equipped to facilitate the escape of tumor cells from immune surveillance. At the same time, they are involved in the establishment of an optimal environment for metastatic tumor cells. On the basis of the role of tumor microvesicles in tumor progression, another door has been opened to a new ovarian cancer therapy. This review addresses the relevance of secretion and shedding of microvesicles and membrane surface protein from tumor cells for biomarker discovery, cancerogenesis, and new therapies in ovarian cancer.</t>
  </si>
  <si>
    <t>[Cerne, Katarina] Univ Ljubljana, Fac Med, Dept Pharmacol &amp; Expt Toxicol, Ljubljana, Slovenia; [Kobal, Borut] Univ Med Ctr Ljubljana, Div Gynaecol &amp; Obstet, Dept Gynaecol, Ljubljana, Slovenia</t>
  </si>
  <si>
    <t>University of Ljubljana; University Medical Centre Ljubljana</t>
  </si>
  <si>
    <t>Cerne, K (corresponding author), Univ Ljubljana, Fac Med, Dept Pharmacol &amp; Expt Toxicol, Ljubljana, Slovenia.</t>
  </si>
  <si>
    <t>katarina.cerne@mf.uni-lj.si</t>
  </si>
  <si>
    <t>Cerne, Katarina/GLU-3745-2022</t>
  </si>
  <si>
    <t>1554-4516</t>
  </si>
  <si>
    <t>978-0-12-396516-5; 978-0-12-396534-9</t>
  </si>
  <si>
    <t>10.1016/B978-0-12-396534-9.00008-8</t>
  </si>
  <si>
    <t>WOS:000322771200008</t>
  </si>
  <si>
    <t>Cui, Y; Xu, HF; Liu, MY; Xu, YJ; He, JC; Zhou, Y; Cang, SD</t>
  </si>
  <si>
    <t>Cui, Yao; Xu, Hai-Feng; Liu, Ming-Yue; Xu, Yu-Jie; He, Jun-Chuang; Zhou, Yun; Cang, Shun-Dong</t>
  </si>
  <si>
    <t>Mechanism of exosomal microRNA-224 in development of hepatocellular carcinoma and its diagnostic and prognostic value</t>
  </si>
  <si>
    <t>Hepatocellular carcinoma; Serum; Exosome; MicroRNA-224; Biomarker</t>
  </si>
  <si>
    <t>CELL; BIOMARKERS; EXPRESSION; MODULATE; MELANOMA</t>
  </si>
  <si>
    <t>BACKGROUND Exosomes contain proteins, lipids, and biological molecules such as DNA and RNA. Nucleic acids in exosomes are a group of molecules that can act as biomarkers. Currently, there are many reports on exosomal microRNAs, which are ideal biomarkers for the early diagnosis of cancer. However, there are few reports on the role of exosomal microRNAs in the diagnosis and prognosis of hepatocellular carcinoma (HCC). AIM To understand the mechanism of exosomal microRNA-224 (miR-224) in the development of HCC and evaluate its diagnostic and prognostic value. METHODS Cell culture and transfection of exosomal miRNA-224, real-time quantitative PCR, luciferase reporter assay, and other methods were used to find new biomarkers related to the development of HCC that can be used to diagnose HCC and predict HCC prognosis. RESULTS By targeting glycine N-methyltransferase, incubating exosomes with miR-224 mimic resulted in a significant increase in cell proliferation compared to that of the control group, while incubation with the miR-224 inhibitor significantly reduced cell proliferation. The same results were obtained for the cell invasion assay. Serum exosomal miR-224 did have some ability to differentiate patients with HCC from healthy controls, with an area under the curve of 0.910, and HCC patients with higher serum exosomal miR-224 expression had lower overall survival. CONCLUSION Exosomal miR-224 is a tumor promotor and can be a marker of diagnosis and prognosis of HCC patients, however, its ability to distinguish liver diseases needs further verification.</t>
  </si>
  <si>
    <t>[Cui, Yao; Liu, Ming-Yue; Xu, Yu-Jie; Zhou, Yun; Cang, Shun-Dong] Henan Univ, Henan Key Lab Precis Med Canc, Henan Prov Peoples Hosp, Peoples Hosp,Zhengzhou Univ,Sch Clin Med,Dept Onc, 7 Weiwu Rd, Zhengzhou 450003, Henan, Peoples R China; [Xu, Hai-Feng] Peking Univ Canc Hosp &amp; Inst, Intervent Therapy Dept, Key Lab Carcinogenesis &amp; Translat Res, Minist Educ Beijing, Beijing 100142, Peoples R China; [He, Jun-Chuang] Henan Univ, Henan Prov Peoples Hosp, Dept Hepatobiliary Surg, Peoples Hosp,Zhengzhou Univ,Sch Clin Med, Zhengzhou 450003, Henan, Peoples R China</t>
  </si>
  <si>
    <t>Henan University; Zhengzhou University; Henan University; Zhengzhou University</t>
  </si>
  <si>
    <t>Cang, SD (corresponding author), Henan Univ, Henan Key Lab Precis Med Canc, Henan Prov Peoples Hosp, Peoples Hosp,Zhengzhou Univ,Sch Clin Med,Dept Onc, 7 Weiwu Rd, Zhengzhou 450003, Henan, Peoples R China.</t>
  </si>
  <si>
    <t>cangshun-donglin@126.com</t>
  </si>
  <si>
    <t>APR 21</t>
  </si>
  <si>
    <t>10.3748/wjg.v25.i15.1890</t>
  </si>
  <si>
    <t>WOS:000465126200009</t>
  </si>
  <si>
    <t>Lucchetti, D; Zurlo, IV; Colella, F; Ricciardi-Tenore, C; Di Salvatore, M; Tortora, G; De Maria, R; Giuliante, F; Cassano, A; Basso, M; Crucitti, A; Laurenzana, I; Artemi, G; Sgambato, A</t>
  </si>
  <si>
    <t>Lucchetti, Donatella; Zurlo, Ina Valeria; Colella, Filomena; Ricciardi-Tenore, Claudio; Di Salvatore, Mariantonietta; Tortora, Giampaolo; De Maria, Ruggero; Giuliante, Felice; Cassano, Alessandra; Basso, Michele; Crucitti, Antonio; Laurenzana, Ilaria; Artemi, Giulia; Sgambato, Alessandro</t>
  </si>
  <si>
    <t>Mutational status of plasma exosomal KRAS predicts outcome in patients with metastatic colorectal cancer</t>
  </si>
  <si>
    <t>CIRCULATING TUMOR DNA; ANTI-EGFR THERAPY; RESISTANCE; HETEROGENEITY; BLOOD; CELLS</t>
  </si>
  <si>
    <t>Liquid biopsy has become a useful alternative in metastatic colorectal cancer (mCRC) patients when tissue biopsy of metastatic sites is not feasible. In this study we aimed to investigate the clinical utility of circulating exosomes DNA in the management of mCRC patients. Exosomes level and KRAS mutational status in exosomal DNA was assesed in 70 mCRC patients and 29 CRC primary tumor and were analysed at different disease steps evaluating serial blood samples (240 blood samples). There was a significant correlation between the extension of disease and exosomes level and the resection of primary localized tumor was correlated with a decrease of KRAS G12V/ D copies and fractional abundance in metastatic disease. CEA expression and liver metastasis correlated with a higher number of KRAS G12V/D copies/ml and a higher fractional abundance; in the subgroup of mCRC patients eligible for surgery, the size of tumor and the radiological response were related to exosomes level but only the size was related to the number of KRAS WT copies; both KRAS wild-type and mutated levels were identified as a prognostic factor related to OS. Finally, we found that 91% of mutated mCRC patients became wild type after the first line chemotherapy but this status reverted in mutated one at progression in 80% of cases. In a prospective cohort of mCRC patients, we show how longitudinal monitoring using exosome-based liquid biopsy provides clinical information relevant to therapeutic stratification.</t>
  </si>
  <si>
    <t>[Lucchetti, Donatella; Colella, Filomena; Ricciardi-Tenore, Claudio; Tortora, Giampaolo; De Maria, Ruggero; Giuliante, Felice; Cassano, Alessandra; Crucitti, Antonio; Artemi, Giulia; Sgambato, Alessandro] Univ Cattolica Sacro Cuore, Dept Translat Med &amp; Surg, I-00168 Rome, Italy; [Zurlo, Ina Valeria; Di Salvatore, Mariantonietta; Tortora, Giampaolo; De Maria, Ruggero; Giuliante, Felice; Cassano, Alessandra; Basso, Michele] Fdn Policlin Univ Agostino Gemelli IRCCS, Dept Translat Med &amp; Surg, I-00168 Rome, Italy; [Crucitti, Antonio] Cristo Re Hosp, Div Gen Surg, Rome, Italy; [Laurenzana, Ilaria; Sgambato, Alessandro] Ctr Riferimento Oncol Basilicata IRCCS CROB, Rionero In Vulture, PZ, Italy</t>
  </si>
  <si>
    <t>Catholic University of the Sacred Heart; IRCCS Policlinico Gemelli; Catholic University of the Sacred Heart; IRCCS Policlinico Gemelli; IRCCS CROB</t>
  </si>
  <si>
    <t>Sgambato, A (corresponding author), Univ Cattolica Sacro Cuore, Dept Translat Med &amp; Surg, I-00168 Rome, Italy.;Sgambato, A (corresponding author), Ctr Riferimento Oncol Basilicata IRCCS CROB, Rionero In Vulture, PZ, Italy.</t>
  </si>
  <si>
    <t>alessandro.sgambato@crob.it</t>
  </si>
  <si>
    <t>Lucchetti, Donatella/AAC-7541-2022; LUCCHETTI, Donatella/AAC-5760-2022</t>
  </si>
  <si>
    <t xml:space="preserve">Lucchetti, Donatella/0000-0001-8147-0079; </t>
  </si>
  <si>
    <t>10.1038/s41598-021-01668-7</t>
  </si>
  <si>
    <t>WOS:000722270000056</t>
  </si>
  <si>
    <t>Lin, MJ; Chen, YY; Zhao, SS; Tang, R; Nie, Z; Xing, H</t>
  </si>
  <si>
    <t>Lin, Minjie; Chen, Yuanyuan; Zhao, Sisi; Tang, Rui; Nie, Zhou; Xing, Hang</t>
  </si>
  <si>
    <t>A Biomimetic Approach for Spatially Controlled Cell Membrane Engineering Using Fusogenic Spherical Nucleic Acid</t>
  </si>
  <si>
    <t>cell assembly; cell membrane engineering; functional DNA; spatially controlled modification; spherical nucleic acid</t>
  </si>
  <si>
    <t>Engineering of the cell plasma membrane using functional DNA is important for studying and controlling cellular behaviors. However, most efforts to apply artificial DNA interactions on cells are limited to external membrane surface due to the lack of suitable synthetic tools to engineer the intracellular side, which impedes many applications in cell biology. Inspired by the natural extracellular vesicle-cell fusion process, we have developed a fusogenic spherical nucleic acid construct to realize robust DNA functionalization on both external and internal cell surfaces via liposome fusion-based transport (LiFT) strategy, which enables applications including the construction of heterotypic cell assembly for programmed signaling pathway and detection of intracellular metabolites. This approach can engineer cell membranes in a highly efficient and spatially controlled manner, allowing one to build anisotropic membrane structures with two orthogonal DNA functionalities.</t>
  </si>
  <si>
    <t>[Lin, Minjie; Chen, Yuanyuan; Tang, Rui; Nie, Zhou; Xing, Hang] Hunan Univ, Hunan Prov Key Lab Biomacromol Chem Biol, State Key Lab Chemo Biosensing &amp; Chemometr, Inst Chem Biol &amp; Nanomed,Coll Chem &amp; Chem Engn, Changsha 410082, Peoples R China; [Zhao, Sisi] Hunan Univ, Inst Chem Biol &amp; Nanomed, Coll Biol, Changsha 410082, Peoples R China</t>
  </si>
  <si>
    <t>Hunan University; Hunan University</t>
  </si>
  <si>
    <t>Xing, H (corresponding author), Hunan Univ, Hunan Prov Key Lab Biomacromol Chem Biol, State Key Lab Chemo Biosensing &amp; Chemometr, Inst Chem Biol &amp; Nanomed,Coll Chem &amp; Chem Engn, Changsha 410082, Peoples R China.</t>
  </si>
  <si>
    <t>hangxing@hnu.edu.cn</t>
  </si>
  <si>
    <t>10.1002/anie.202111647</t>
  </si>
  <si>
    <t>WOS:000722294200001</t>
  </si>
  <si>
    <t>Martinelli, C; Gabriele, F; Manai, F; Ciccone, R; Novara, F; Sauta, E; Bellazzi, R; Patane, M; Moroni, I; Paterra, R; Comincini, S</t>
  </si>
  <si>
    <t>Martinelli, Carolina; Gabriele, Fabio; Manai, Federico; Ciccone, Roberto; Novara, Francesca; Sauta, Elisabetta; Bellazzi, Riccardo; Patane, Monica; Moroni, Isabella; Paterra, Rosina; Comincini, Sergio</t>
  </si>
  <si>
    <t>The Search for Molecular Markers in a Gene-Orphan Case Study of a Pediatric Spinal Cord Pilocytic Astrocytoma</t>
  </si>
  <si>
    <t>CANCER GENOMICS &amp; PROTEOMICS</t>
  </si>
  <si>
    <t>Pediatric astrocytic tumors; exome analysis; DNA mutations; chromosomal abnormalities; bioinformatics</t>
  </si>
  <si>
    <t>DLX6-AS1 PROMOTES; CANCER CELLS; FUSION GENES; TUMOR; RNA; SURVIVAL; PROLIFERATION; MIGRATION; INVASION; ZDHHC14</t>
  </si>
  <si>
    <t>Background/Aim: We herein presented a case of pediatric spinal cord pilocytic astrocytoma diagnosed on the basis of histopathological and clinical findings. Materials and Methods: Given the paucity of data on genetic features for this tumor, we performed exome, array CGH and RNA sequencing analysis from nucleic acids isolated from a unique and not repeatable very small amount of a formalin-fixed, paraffin-embedded (FFPE) specimen. Results: DNA mutation analysis, comparing tumor and normal lymphocyte peripheral DNA, evidenced few tumor-specific single nucleotide variants in DEFB119, MUC5B, NUDT1, LTBP3 and CPSF3L genes. Differently, tumor DNA was not characterized by for the main pilocytic astrocytoma gene variations, including BRAFV600E. An inflame trinucleotides insertion involving DLX6 or lnc DLX6-AS1 genes was scored in 44.9% of sequenced reads; the temporal profile of this variation on the expression of DLX-AS1 was investigated in patient's urine-derived exosomes, reporting no significant variation in the one-year molecular follow-up. Array CGH identified a tumor microdeletion at the 6q25.3 chromosomal region, spanning 1,01 Mb and comprising ZDHHC14, SNX9, TULP4 and SYTL3 genes. The expression of these genes did not change in urine-derived exosomes during the one-year investigation period. Finally, RNAseq did not reveal any of the common pilocytic BRAF-KIAA1549 genes fusion events. Conclusion: To our knowledge, the present report is one of the first described gene-orphan case studies of a pediatric spinal cord pilocytic astrocytoma.</t>
  </si>
  <si>
    <t>[Martinelli, Carolina; Gabriele, Fabio; Manai, Federico; Comincini, Sergio] Univ Pavia, Dept Biol &amp; Biotechnol, I-27100 Pavia, Italy; [Ciccone, Roberto] Univ Pavia, Dept Mol Med, Pavia, Italy; [Ciccone, Roberto; Novara, Francesca] Microgen Lab, Pavia, Italy; [Sauta, Elisabetta; Bellazzi, Riccardo] Univ Pavia, Dept Elect Comp &amp; Biomed Engn, Pavia, Italy; [Patane, Monica; Moroni, Isabella; Paterra, Rosina] Fdn IRCCS Ist Neurol Carlo Besta, Neuropathol Unit, Milan, Italy</t>
  </si>
  <si>
    <t>University of Pavia; University of Pavia; University of Pavia; IRCCS Istituto Neurologico Besta</t>
  </si>
  <si>
    <t>Comincini, S (corresponding author), Univ Pavia, Dept Biol &amp; Biotechnol, I-27100 Pavia, Italy.</t>
  </si>
  <si>
    <t>sergio.comincini@unipv.it</t>
  </si>
  <si>
    <t>Patanè, Monica/J-3615-2018; Moroni, Isabella/AAL-1336-2021; Manai, Federico/ABF-5272-2021; Bellazzi, Riccardo/J-6432-2018; Paterra, Rosina RP/K-7664-2016; COMINCINI, SERGIO/AAC-9164-2019</t>
  </si>
  <si>
    <t>Patanè, Monica/0000-0003-3567-9263; Moroni, Isabella/0000-0002-3322-1681; Bellazzi, Riccardo/0000-0002-6974-9808; Paterra, Rosina RP/0000-0001-9690-3500; COMINCINI, SERGIO/0000-0001-7568-1144; SAUTA, ELISABETTA/0000-0002-7830-988X</t>
  </si>
  <si>
    <t>1109-6535</t>
  </si>
  <si>
    <t>1790-6245</t>
  </si>
  <si>
    <t>MAR-APR</t>
  </si>
  <si>
    <t>10.21873/cgp.20172</t>
  </si>
  <si>
    <t>Oncology; Genetics &amp; Heredity</t>
  </si>
  <si>
    <t>WOS:000517985400002</t>
  </si>
  <si>
    <t>Yuan, ZY; Wang, XF; Geng, X; Li, Y; Tan, FW; Xue, Q; Gao, SG; He, J</t>
  </si>
  <si>
    <t>Yuan, Zuyang; Wang, Xinfeng; Geng, Xiao; Li, Yin; Tan, Fengwei; Xue, Qi; Gao, Shugeng; He, Jie</t>
  </si>
  <si>
    <t>Multi-region sequencing reveals genetic correlation between esophageal squamous cell carcinoma and matched cell-free DNA</t>
  </si>
  <si>
    <t>CANCER GENETICS</t>
  </si>
  <si>
    <t>Cell-free DNA; Esophageal squamous cell carcinoma; Intratumoral heterogeneity; Multi-region sequencing; Somatic mutation</t>
  </si>
  <si>
    <t>CANCER-PATIENTS; HETEROGENEITY; IDENTIFICATION; MUTATIONS; LANDSCAPE; EXOSOMES; ORIGIN; PLASMA; SERUM</t>
  </si>
  <si>
    <t>Purpose: This study aimed to determine if both ubiquitous and heterogeneous somatic mutations could be detected in circulating cell-free DNA (cfDNA) in patients with esophageal squamous cell carcinoma (ESCC). Methods: Paired multi-regional tumor tissues, cfDNA, and white blood cells (WBCs) were collected from five ESCC patients before treatment, as part of an ongoing prospective study (NCT02395705). Samples from Cohort 1 were sequenced by whole-exome sequencing and samples from Cohort 2 were sequenced by targeted capture sequencing. Somatic single-nucleotide variations (SNVs) were detected by comparing solid tumor or cfDNA with matched WBCs, with a minimum variant allele frequency (VAF) of 0.1% and P value &lt; 0.05. Results: Genomic DNA (gDNA) and plasma-derived cfDNA from 26 samples were sequenced successfully. In Cohort 1, a significant linear relationship between the tumor and cfDNA VAFs ( R 2 = 0.78, P &lt; 0.0 0 01) was found. In Cohort 2, cfDNA could recover an average of 60.7% (31/51; range, 35.7-76.2%) of somatic mutations present in matched solid tumors. There was a significant positive correlation in VAFs between cfDNA and matched solid tumor tissues ( R 2 = 0.92, P &lt; 0.0 0 01). Conclusions: Both sequencing approaches revealed high intratumoral heterogeneity in ESCC, and enabled the detection of both ubiquitous and heterogeneous mutations in cfDNA. (c) 2021 Published by Elsevier Inc.</t>
  </si>
  <si>
    <t>[Yuan, Zuyang; Wang, Xinfeng; Geng, Xiao; Li, Yin; Tan, Fengwei; Xue, Qi; Gao, Shugeng; He, Jie] Chinese Acad Med Sci &amp; Peking Union Med Coll, Dept Thorac Surg, Natl Canc Ctr, Natl Clin Res Ctr Canc,Canc Hosp, Beijing 100021, Peoples R China</t>
  </si>
  <si>
    <t>Chinese Academy of Medical Sciences - Peking Union Medical College; Cancer Institute &amp; Hospital - CAMS; Peking Union Medical College</t>
  </si>
  <si>
    <t>He, J (corresponding author), Chinese Acad Med Sci &amp; Peking Union Med Coll, Dept Thorac Surg, Natl Canc Ctr, Natl Clin Res Ctr Canc,Canc Hosp, Beijing 100021, Peoples R China.</t>
  </si>
  <si>
    <t>hejie@cicams.ac.cn</t>
  </si>
  <si>
    <t>Geng, Xiao/0000-0002-4998-6769</t>
  </si>
  <si>
    <t>2210-7762</t>
  </si>
  <si>
    <t>2210-7770</t>
  </si>
  <si>
    <t>10.1016/j.cancergen.2021.08.005</t>
  </si>
  <si>
    <t>WOS:000712461400001</t>
  </si>
  <si>
    <t>FOUAD, FM; MARSHALL, WD; FARRELL, PG; FITZGERALD, S</t>
  </si>
  <si>
    <t>ACUTE-PHASE PLASMA-PROTEIN RESPONSE TO CHOLERA INTOXICATION IN HEALTHY AND DIABETIC RATS</t>
  </si>
  <si>
    <t>JOURNAL OF TOXICOLOGY AND ENVIRONMENTAL HEALTH</t>
  </si>
  <si>
    <t>HEPATOCYTE CULTURES; ALPHA-AMANITIN; LIVER DNA; TOXIN; SECRETION; INSULIN; SERUM; BIOSYNTHESIS; PHALLOIDIN</t>
  </si>
  <si>
    <t>The aim of the present study is twofold: to establish the response of hepatic machinery of plasma protein biosynthesis to cholera intoxication, and to examine the same response of alloxan-diabetic hepatocytes with minimal capacity of synthesis of plasma proteins. Direct lesion of hepatic plasma membranes via ip administration of cholera toxin to male rats resulted in a typical acute-phase response (APR) of plasma proteins, which had regressed to levels similar to those of healthy controls approximately at 240 h postintoxication. The d 2 response to a single 0.16 mg/kg body weight dose was typified by a 23% reduction in the level of albumin, but a 6- and 24-fold increase in the levels of fibrinogen and alpha-1-acid glycoproteins, respectively This response was similar (in direction but not in magnitude) to the acute-phase reaction to a simple subcutaneous administration of carrageenan. The intoxication was accompanied by a massive leakage, into the peritoneal cavity, of plasma fluid, which embraced the complete profile of acute-phase reactants. A three-step mechanism is proposed to account for the observations as follows: (1) There is a rapid formation of a stable complex between subunit B of the toxin and ganglioside GM1 of hepatic plasma membrane. An APR is induced in response to the alteration(s) of hepatic plasma membranes. (2) The release, from the choleragen-membrane complex, of polypeptide Al and its subsequent penetration of the hepatic membrane result in both activation of adenylate cyclase and increased vascular permeability of hepatic membranes. This leads, in turn, to exudation of components of plasma fluid in the peritoneal cavity of intoxicated rats. An alternate rationale for this exudation is the slow leakage of plasma proteins out of the blood vascular system (possibly through microvesicles) into the peritoneal cavity of cholera intoxicated rats. The spectrum of acute-phase hepatic secretory components was mirrored in the corresponding peritoneal exudate. (3) The increased hepatic membrane flow provides the continued renewal of plasma membrane proteins required for its eventual repair by either endocytosis or sloughing off the toxin-bound membrane segments into the circulatory system, thus producing regression of APR. Livers of diabetic rats, an already established model in terms of APR, responded to ip administration of cholera toxin by increased biosynthesis of the identified plasma proteins and a marked reduction in total free-glucose in serum. Thus, innoculation of diabetic rats with cholera toxin resulted in the addition of the poorly controlled sugar residues onto polypeptide chains, a postribosomal process that is an alternative pathway for the metabolism of excess glucose.</t>
  </si>
  <si>
    <t>MCGILL UNIV, DEPT CHEM, ST ANNE DE BELLEVUE H9X 1C0, QUEBEC, CANADA</t>
  </si>
  <si>
    <t>FOUAD, FM (corresponding author), MCGILL UNIV, DEPT FOOD SCI &amp; AGR CHEM, ST ANNE DE BELLEVUE H9X 1C0, QUEBEC, CANADA.</t>
  </si>
  <si>
    <t>0098-4108</t>
  </si>
  <si>
    <t>Environmental Sciences; Public, Environmental &amp; Occupational Health; Toxicology</t>
  </si>
  <si>
    <t>Environmental Sciences &amp; Ecology; Public, Environmental &amp; Occupational Health; Toxicology</t>
  </si>
  <si>
    <t>WOS:A1993KH54200001</t>
  </si>
  <si>
    <t>Marki, A; Buscher, K; Lorenzini, C; Meyer, M; Saigusa, R; Fan, ZC; Yeh, YT; Hartmann, N; Dan, JM; Kiosses, WB; Golden, GJ; Ganesan, R; Winkels, H; Orecchioni, M; McArdle, S; Mikulski, Z; Altman, Y; Bui, J; Kronenberg, M; Chien, S; Esko, JD; Nizet, V; Smalley, D; Roth, J; Ley, K</t>
  </si>
  <si>
    <t>Marki, Alex; Buscher, Konrad; Lorenzini, Cristina; Meyer, Matthew; Saigusa, Ryosuke; Fan, Zhichao; Yeh, Yi-Ting; Hartmann, Nadine; Dan, Jennifer M.; Kiosses, William B.; Golden, Gregory J.; Ganesan, Rajee; Winkels, Holger; Orecchioni, Marco; McArdle, Sara; Mikulski, Zbigniew; Altman, Yoav; Bui, Jack; Kronenberg, Mitchell; Chien, Shu; Esko, Jeffrey D.; Nizet, Victor; Smalley, David; Roth, Johannes; Ley, Klaus</t>
  </si>
  <si>
    <t>Elongated neutrophil-derived structures are blood-borne microparticles formed by rolling neutrophils during sepsis</t>
  </si>
  <si>
    <t>JOURNAL OF EXPERIMENTAL MEDICINE</t>
  </si>
  <si>
    <t>EXTRACELLULAR VESICLES; CELL; PROTEOME; MOUSE; CALPROTECTIN; EXOSOMES; SHOCK; SIDE</t>
  </si>
  <si>
    <t>Rolling neutrophils form tethers with submicron diameters. Here, we report that these tethers detach, forming elongated neutrophil-derived structures (ENDS) in the vessel lumen. We studied ENDS formation in mice and humans in vitro and in vivo. ENDS do not contain mitochondria, endoplasmic reticulum, or DNA, but are enriched for S100A8, S100A9, and 57 other proteins. Within hours of formation, ENDS round up, and some of them begin to present phosphatidylserine on their surface (detected by annexin-5 binding) and release S100A8-S100A9 complex, a damage-associated molecular pattern protein that is a known biomarker of neutrophilic inflammation. ENDS appear in blood plasma of mice upon induction of septic shock. Compared with healthy donors, ENDS are 10-100-fold elevated in blood plasma of septic patients. Unlike neutrophil-derived extracellular vesicles, most ENDS are negative for the tetraspanins CD9, CD63, and CD81. We conclude that ENDS are a new class of bloodborne submicron particles with a formation mechanism linked to neutrophil rolling on the vessel wall.</t>
  </si>
  <si>
    <t>[Marki, Alex; Buscher, Konrad; Lorenzini, Cristina; Meyer, Matthew; Saigusa, Ryosuke; Fan, Zhichao; Hartmann, Nadine; Dan, Jennifer M.; Kiosses, William B.; Winkels, Holger; Orecchioni, Marco; McArdle, Sara; Mikulski, Zbigniew; Kronenberg, Mitchell; Ley, Klaus] La Jolla Inst Immunol, La Jolla, CA 92037 USA; [Buscher, Konrad] Univ Hosp Muenster, Dept Med D, Div Gen Internal Med Nephrol &amp; Rheumatol, Munster, Germany; [Lorenzini, Cristina] Univ Fed Santa Catarina, Lab Immunobiol, Florianopolis, SC, Brazil; [Fan, Zhichao] Univ Connecticut, Ctr Hlth, Dept Immunol, Farmington, CT USA; [Yeh, Yi-Ting] Univ Calif San Diego, Mech &amp; Aerosp Engn, La Jolla, CA 92093 USA; [Dan, Jennifer M.] Univ Calif San Diego, Div Infect Dis &amp; Global Publ Hlth, La Jolla, CA 92093 USA; [Golden, Gregory J.; Esko, Jeffrey D.] Univ Calif San Diego, Dept Cellular &amp; Mol Med, La Jolla, CA 92093 USA; [Golden, Gregory J.; Esko, Jeffrey D.] Univ Calif San Diego, Glycobiol Res &amp; Training Ctr, La Jolla, CA 92093 USA; [Ganesan, Rajee] Univ North Carolina Chapel Hill, Dept Biol, Chapel Hill, NC USA; [Altman, Yoav] Sanford Burnham Prebys Med Discovery Inst, La Jolla, CA USA; [Bui, Jack] Univ Calif San Diego, Dept Pathol, La Jolla, CA 92093 USA; [Nizet, Victor] Univ Calif San Diego, Dept Pediat, La Jolla, CA 92093 USA; [Nizet, Victor] Univ Calif San Diego, Skaggs Sch Pharm &amp; Pharmaceut Sci, La Jolla, CA 92093 USA; [Smalley, David] Georgia Inst Technol, Parker H Petit Inst Bioengn &amp; Biosci, Syst Mass Spectrometry Core, Atlanta, GA 30332 USA; [Chien, Shu; Roth, Johannes] Univ Munster, Inst Immunol, Munster, Germany; [Ley, Klaus] Univ Calif San Diego, Dept Bioengn, La Jolla, CA 92093 USA; [Ley, Klaus] Univ Calif San Diego, Inst Engn Med, La Jolla, CA 92093 USA</t>
  </si>
  <si>
    <t>University of Munster; Universidade Federal de Santa Catarina (UFSC); University of Connecticut; University of California System; University of California San Diego; University of California System; University of California San Diego; University of California System; University of California San Diego; University of California System; University of California San Diego; University of North Carolina; University of North Carolina Chapel Hill; University of North Carolina School of Medicine; Sanford Burnham Prebys Medical Discovery Institute; University of California System; University of California San Diego; University of California System; University of California San Diego; University of California System; University of California San Diego; University System of Georgia; Georgia Institute of Technology; University of Munster; University of California System; University of California San Diego; University of California System; University of California San Diego</t>
  </si>
  <si>
    <t>Ley, K (corresponding author), La Jolla Inst Immunol, La Jolla, CA 92037 USA.;Ley, K (corresponding author), Univ Calif San Diego, Dept Bioengn, La Jolla, CA 92093 USA.;Ley, K (corresponding author), Univ Calif San Diego, Inst Engn Med, La Jolla, CA 92093 USA.</t>
  </si>
  <si>
    <t>klaus@lji.org</t>
  </si>
  <si>
    <t>Kronenberg, Mitchell/AAT-6078-2021; Fan, Zhichao/A-9835-2014; Winkels, Holger/ADQ-0339-2022</t>
  </si>
  <si>
    <t>Fan, Zhichao/0000-0001-5385-9626; Winkels, Holger/0000-0003-1333-2031; Dan, Jennifer/0000-0002-1672-0657; Altman, Yoav/0000-0001-6075-1111; Bartelle Lorenzini, Cristina/0000-0003-0651-7599; Mikulski, Zbigniew/0000-0002-1918-9216; Marki, Alex/0000-0001-8786-3711; Saigusa, Ryosuke/0000-0002-1640-6182; Meyer, Matthew/0000-0002-7900-2062</t>
  </si>
  <si>
    <t>0022-1007</t>
  </si>
  <si>
    <t>1540-9538</t>
  </si>
  <si>
    <t>e20200551</t>
  </si>
  <si>
    <t>10.1084/jem.20200551</t>
  </si>
  <si>
    <t>WOS:000625357900001</t>
  </si>
  <si>
    <t>Hall, C; Sarli, V; Meas, S; Lucci, A</t>
  </si>
  <si>
    <t>Hall, Carolyn; Sarli, Vanessa; Meas, Salyna; Lucci, Anthony</t>
  </si>
  <si>
    <t>Role of Liquid Biopsy in Clinical Decision-Making for Breast Cancer</t>
  </si>
  <si>
    <t>CURRENT BREAST CANCER REPORTS</t>
  </si>
  <si>
    <t>Breast cancer; Liquid biopsy; Circulating tumor cells; Circulating tumor DNA</t>
  </si>
  <si>
    <t>CIRCULATING TUMOR-CELLS; FREE DNA; HORMONE-RECEPTOR; ESR1 MUTATIONS; NEOADJUVANT CHEMOTHERAPY; PIK3CA MUTATIONS; POOLED ANALYSIS; HER2 STATUS; FOLLOW-UP; PROGNOSTIC VALUE</t>
  </si>
  <si>
    <t>Purpose of ReviewLiquid biopsies are easily obtainable, non-invasive, longitudinal snapshots that can be used to measure micrometastatic disease burden, monitor disease progression, and provide genomic assessments of primary tumor/metastatic lesions. To date, most published studies have focused on circulating tumor cells (CTCs) and cell-free circulating tumor DNA (ctDNA); however, the liquid biopsy field is expanding exponentially and new blood components are currently under investigation.Recent FindingsCTCs and ctDNA remain the most extensively studied liquid biopsy components to date. Several additional blood-based components are the basis of active, ongoing investigations. Some on the horizon include serum/plasma exosomes, platelet-mRNA, miRNA characterization, and global proteomic studies.SummaryIn the era of individualized medicine, liquid biopsy has potential to improve upon current breast cancer management by offering dynamic monitoring possibilities as well as novel targets for therapy.</t>
  </si>
  <si>
    <t>[Hall, Carolyn; Sarli, Vanessa; Meas, Salyna; Lucci, Anthony] Univ Texas MD Anderson Canc Ctr, Dept Breast Surg Oncol, 1400 Pressler St,FCT7-5046, Houston, TX 77030 USA</t>
  </si>
  <si>
    <t>University of Texas System; UTMD Anderson Cancer Center</t>
  </si>
  <si>
    <t>Lucci, A (corresponding author), Univ Texas MD Anderson Canc Ctr, Dept Breast Surg Oncol, 1400 Pressler St,FCT7-5046, Houston, TX 77030 USA.</t>
  </si>
  <si>
    <t>Alucci@mdanderson.org</t>
  </si>
  <si>
    <t>Lucci, Anthony/0000-0003-4039-174X</t>
  </si>
  <si>
    <t>1943-4588</t>
  </si>
  <si>
    <t>1943-4596</t>
  </si>
  <si>
    <t>10.1007/s12609-019-0308-0</t>
  </si>
  <si>
    <t>WOS:000472900500004</t>
  </si>
  <si>
    <t>Hong, Y; Truong, AD; Lee, J; Vu, TH; Lee, S; Song, KD; Lillehoj, HS; Hong, YH</t>
  </si>
  <si>
    <t>Hong, Yeojin; Truong, Anh Duc; Lee, Jiae; Vu, Thi Hao; Lee, Sooyeon; Song, Ki-Duk; Lillehoj, Hyun S.; Hong, Yeong Ho</t>
  </si>
  <si>
    <t>Exosomal miRNA profiling from H5N1 avian influenza virus-infected chickens</t>
  </si>
  <si>
    <t>VETERINARY RESEARCH</t>
  </si>
  <si>
    <t>HPAIV; Exosomes; Small RNA sequencing; miRNA</t>
  </si>
  <si>
    <t>Exosomes are membrane vesicles containing proteins, lipids, DNA, mRNA, and micro RNA (miRNA). Exosomal miRNA from donor cells can regulate the gene expression of recipient cells. Here, Ri chickens were divided into resistant (Mx/A; BF2/B21) and susceptible (Mx/G; BF2/B13) trait by genotyping of Mx and BF2 genes. Then, Ri chickens were infected with H5N1, a highly pathogenic avian influenza virus (HPAIV). Exosomes were purified from blood serum of resistant chickens for small RNA sequencing. Sequencing data were analysed using FastQCv0.11.7, Cutadapt 1.16, miRBase v21, non-coding RNA database, RNAcentral 10.0, and miRDeep2. Differentially expressed miRNAs were determined using statistical methods, including fold-change, exactTest using edgeR, and hierarchical clustering. Target genes were predicted using miRDB. Gene ontology analysis was performed using gProfiler. Twenty miRNAs showed significantly different expression patterns between resistant control and infected chickens. Nine miRNAs were up-regulated and 11 miRNAs were down-regulated in the infected chickens compared with that in the control chickens. In target gene analysis, various immune-related genes, such as cytokines, chemokines, and signalling molecules, were detected. In particular, mitogen-activated protein kinase (MAPK) pathway molecules were highly controlled by differentially expressed miRNAs. The result of qRT-PCR for miRNAs was identical with sequencing data and miRNA expression level was higher in resistant than susceptible chickens. This study will help to better understand the host immune response, particularly exosomal miRNA expression against HPAIV H5N1 and could help to determine biomarkers for disease resistance.</t>
  </si>
  <si>
    <t>[Hong, Yeojin; Lee, Jiae; Vu, Thi Hao; Lee, Sooyeon; Hong, Yeong Ho] Chung Ang Univ, Dept Anim Sci &amp; Technol, Anseong 17546, South Korea; [Truong, Anh Duc] Natl Inst Vet Res, Dept Biochem &amp; Immunol, 86 Truong Chinh, Hanoi 100000, Vietnam; [Song, Ki-Duk] Jeonbuk Natl Univ, Dept Anim Biotechnol, Coll Agr &amp; Life Sci, Jeonju 54896, South Korea; [Lillehoj, Hyun S.] ARS, Anim Biosci &amp; Biotechnol Lab, USDA, Beltsville, MD 20705 USA</t>
  </si>
  <si>
    <t>Chung Ang University; Jeonbuk National University; United States Department of Agriculture (USDA)</t>
  </si>
  <si>
    <t>Hong, YH (corresponding author), Chung Ang Univ, Dept Anim Sci &amp; Technol, Anseong 17546, South Korea.</t>
  </si>
  <si>
    <t>yhong@cau.ac.kr</t>
  </si>
  <si>
    <t>Duc, Truong Anh/I-6602-2019</t>
  </si>
  <si>
    <t>Duc, Truong Anh/0000-0002-2472-8165; Hong, Yeong Ho/0000-0002-4510-7851; Vu, Thi Hao/0000-0001-9098-6990</t>
  </si>
  <si>
    <t>0928-4249</t>
  </si>
  <si>
    <t>1297-9716</t>
  </si>
  <si>
    <t>MAR 3</t>
  </si>
  <si>
    <t>10.1186/s13567-021-00892-3</t>
  </si>
  <si>
    <t>WOS:000625118300001</t>
  </si>
  <si>
    <t>Mycko, MP; Baranzini, SE</t>
  </si>
  <si>
    <t>Mycko, Marcin P.; Baranzini, Sergio E.</t>
  </si>
  <si>
    <t>microRNA and exosome profiling in multiple sclerosis</t>
  </si>
  <si>
    <t>MULTIPLE SCLEROSIS JOURNAL</t>
  </si>
  <si>
    <t>microRNA; exosome; multiple sclerosis; EAE; biomarker; immune response</t>
  </si>
  <si>
    <t>REGULATORY T-CELLS; EXTRACELLULAR VESICLES; BIOMARKERS; COMMUNICATION; EXPRESSION; PLASMA; LIGHT; RNAS</t>
  </si>
  <si>
    <t>New DNA sequencing technologies have uncovered non-coding RNA (ncRNA) as a major player in regulating cellular processes and can no longer be dismissed as junk or dark RNA. Among the ncRNA, microRNA (miRNA) is arguably the most extensively characterized category and a number of studies have implicated them in regulating critical functions that can influence autoimmune demyelination. Of specific interest to multiple sclerosis (MS), miRNA have been implicated in both regulating immune responses and myelination, thus making them an attractive candidate for both pharmacological intervention and as disease biomarkers. In addition, exosomes, small vesicles secreted by most cell types and present in all body fluids, have been also shown to play roles in immune signaling, inflammation and angiogenesis. Therefore, exosomes are also being explored as tools for therapeutic delivery and as biomarkers. This article reviews the recent advances in miRNA and exosome profiling in MS and experimental models.</t>
  </si>
  <si>
    <t>[Mycko, Marcin P.] Univ Warmia &amp; Mazury, Fac Med, Dept Neurol, Lab Neuroimmunol, Warszawska 30, PL-10082 Olsztyn, Poland; [Baranzini, Sergio E.] Univ Calif San Francisco, Weill Inst Neurosci, Dept Neurol, 675 Nelson Rising Lane, San Francisco, CA 94158 USA</t>
  </si>
  <si>
    <t>University of Warmia &amp; Mazury; University of California System; University of California San Francisco</t>
  </si>
  <si>
    <t>Mycko, MP (corresponding author), Univ Warmia &amp; Mazury, Fac Med, Dept Neurol, Lab Neuroimmunol, Warszawska 30, PL-10082 Olsztyn, Poland.;Baranzini, SE (corresponding author), Univ Calif San Francisco, Weill Inst Neurosci, Dept Neurol, 675 Nelson Rising Lane, San Francisco, CA 94158 USA.</t>
  </si>
  <si>
    <t>Marcin.Mycko@uwm.edu.pl; Sergio.Baranzini@ucsf.edu</t>
  </si>
  <si>
    <t>Mycko, Marcin/0000-0002-2226-1784; Baranzini, Sergio/0000-0003-0067-194X</t>
  </si>
  <si>
    <t>1352-4585</t>
  </si>
  <si>
    <t>1477-0970</t>
  </si>
  <si>
    <t>10.1177/1352458519879303</t>
  </si>
  <si>
    <t>WOS:000509049900001</t>
  </si>
  <si>
    <t>Schutz, E; Urnovitz, HB; Iakoubov, L; Schulz-Schaeffer, W; Wemheuer, W; Brenig, B</t>
  </si>
  <si>
    <t>Bov-tA short interspersed nucleotide element sequences in circulating nucleic acids from sera of cattle with bovine spongiform encephalopathy (BSE) and sera of cattle exposed to BSE</t>
  </si>
  <si>
    <t>CLINICAL AND DIAGNOSTIC LABORATORY IMMUNOLOGY</t>
  </si>
  <si>
    <t>PLASMA; RNA; DNA; RELEASE; STABILITY; EVOLUTION; EXOSOMES; REPEAT; MARKER; GENES</t>
  </si>
  <si>
    <t>Circullating nucleic acids (CNA) are known to be enriched in repetitive DNA sequences in humans. Here, bovine sera CNA were analyzed to determine if cell stress-related short interspersed nucleotide elements: (SINEs) could be detected in sera from cattle associated with bovine spongiform encephalopathy (BSE,). Nucleic acids were extracted, amplified, cloned, and sequenced from the sera of protease-resistant prion protein (PrPres)-positive cattle (n = 2) and sera from BSE-cohort cows (n = 6); 150 out of 163 clones revealed the presence of, on average, an 80-bp sequence from the 3' region of Bov-tA SINE. A PCR protocol was developed that differentially identified SINE-associated CNA in BSE-exposed versus normal cattle. CNA were: extracted from a serum vesicular fraction after controlled blood collection and processing procedures. Sera from four confirmed cases of BSE, 137 BSE-exposed cohort animals associated with eight confirmed BSE cases, and 845 healthy, PrPres-negative, control cows were tested. All four sera from confirmed BSE cases were repeatedly reactive in the assay. BSE-exposed cohorts had a 100-fold higher occurrence of repeatedly reactive individuals per cohort (average = 63%; range = 33% to 91%), compared to healthy controls (average = 0.6%; P &lt; 0.001). This study shows that BSE-confirmed and cohort animals possess a unique profile of SINE-associated serum CNA that can be utilized as a marker that highly correlates to BSE exposure.</t>
  </si>
  <si>
    <t>Univ Gottingen, Inst Vet Med, D-37073 Gottingen, Germany; Chronix Biomed GmbH, D-37073 Gottingen, Germany; Chronix Biomed Inc, San Jose, CA 95112 USA; Univ Gottingen, Dept Neuropathol, D-37075 Gottingen, Germany</t>
  </si>
  <si>
    <t>University of Gottingen; University of Gottingen</t>
  </si>
  <si>
    <t>Brenig, B (corresponding author), Univ Gottingen, Inst Vet Med, Groner Landstr 2, D-37073 Gottingen, Germany.</t>
  </si>
  <si>
    <t>bbrenig@gwdg.de</t>
  </si>
  <si>
    <t>Schuetz, Ekkehard/H-3929-2013</t>
  </si>
  <si>
    <t>Brenig, Bertram/0000-0002-7635-9656; Iakoubov, Leonid/0000-0001-9666-2110</t>
  </si>
  <si>
    <t>1071-412X</t>
  </si>
  <si>
    <t>10.1128/CDLI.12.7.814-820.2005</t>
  </si>
  <si>
    <t>WOS:000231407600003</t>
  </si>
  <si>
    <t>Bang, YH; Shim, JH; Ryu, KJ; Kim, YJ; Choi, ME; Yoon, SE; Cho, J; Park, B; Park, WY; Kim, WS; Kim, SJ</t>
  </si>
  <si>
    <t>Bang, Yeong Hak; Shim, Joon Ho; Ryu, Kyung Ju; Kim, Yeon Jeong; Choi, Myung Eun; Yoon, Sang Eun; Cho, Junhun; Park, Bon; Park, Woong-Yang; Kim, Won Seog; Kim, Seok Jin</t>
  </si>
  <si>
    <t>Clinical relevance of serum-derived exosomal messenger RNA sequencing in patients with non-Hodgkin lymphoma</t>
  </si>
  <si>
    <t>JOURNAL OF CANCER</t>
  </si>
  <si>
    <t>Liquid biopsy; exosome; messenger RNA; non-Hodgkin lymphoma</t>
  </si>
  <si>
    <t>B-CELL LYMPHOMA; ORIGIN</t>
  </si>
  <si>
    <t>Background: The clinical utility of mRNA cargo in exosomes is unclear, although exosomes have potential as non-invasive biomarkers. This study aimed to investigate the feasibility of exosomal mRNA sequencing for monitoring disease status and predicting outcomes in non-Hodgkin lymphoma (NHL) patients. Methods: Exosomes were isolated from archived serum samples of 33 patients with NHL who were registered into our prospective cohort: diffuse large B-cell lymphoma (DLBCL, n = 17), intravascular B-cell lymphoma (IVL, n = 1), primary mediastinal large B-cell lymphoma (PMBL, n = 4), follicular lymphoma (FL, n = 3), mantle cell lymphoma (MCL, n = 3), and extranodal NK/T-cell lymphoma (ENKTL, n = 5). Exosomal mRNA sequencing was performed, and its concordance with clinical course was analyzed and compared with those of circulating tumor DNA (ctDNA) mutations. Results: Exosomal mRNA sequencing was performed successfully in 26 cases (79%, 26/33), whereas the remaining seven cases were not completed due to their small amount of RNA. The exosomal mRNA sequencing of DLBCL showed gene expression profiles consistent with activated B-cell-like and germinal center type. The longitudinal assessment of exosomal mRNA sequencing results in accordance with the clinical course showed that the post-treatment changes of exosomal mRNA expression were more consistent with treatment outcome than were those of ctDNA mutations. In particular, the exosomal mRNA expression of genes such as BCL2 and BCL6 was increased at the time of disease progression in DLBCL and FL patients. Conclusions: This study demonstrated the feasibility of exosomal mRNA expression profiles as a biomarker for NHL patients. Our results might provide the rationale for studies to explore the potential of exosomal mRNA as a biomarker in NHL patients.</t>
  </si>
  <si>
    <t>[Bang, Yeong Hak] Sungkyunkwan Univ, Samsung Adv Inst Hlth Sci &amp; Technol, Dept Digital Hlth, Seoul, South Korea; [Shim, Joon Ho; Ryu, Kyung Ju; Choi, Myung Eun; Park, Bon; Kim, Won Seog; Kim, Seok Jin] Sungkyunkwan Univ, Samsung Adv Inst Hlth Sci &amp; Technol, Dept Hlth Sci &amp; Technol, Seoul, South Korea; [Shim, Joon Ho; Kim, Yeon Jeong; Park, Woong-Yang] Samsung Med Ctr, Samsung Genome Inst, Seoul, South Korea; [Yoon, Sang Eun; Kim, Won Seog; Kim, Seok Jin] Sungkyunkwan Univ, Sch Med, Samsung Med Ctr, Dept Med,Div Hematol &amp; Oncol, 81 Irwon Ro, Seoul 06351, South Korea; [Cho, Junhun] Sungkyunkwan Univ, Coll Med, Samsung Med Ctr, Dept Pathol &amp; Translat Genom, Seoul, South Korea</t>
  </si>
  <si>
    <t>Sungkyunkwan University (SKKU); Samsung Medical Center; Sungkyunkwan University (SKKU); Samsung Medical Center; Sungkyunkwan University (SKKU); Samsung Medical Center; Sungkyunkwan University (SKKU); Samsung Medical Center; Sungkyunkwan University (SKKU); Samsung Medical Center</t>
  </si>
  <si>
    <t>Kim, SJ (corresponding author), Sungkyunkwan Univ, Sch Med, Samsung Med Ctr, Dept Med,Div Hematol &amp; Oncol, 81 Irwon Ro, Seoul 06351, South Korea.</t>
  </si>
  <si>
    <t>kstwoh@skku.edu</t>
  </si>
  <si>
    <t>Wu, 晓楠/CAF-8096-2022</t>
  </si>
  <si>
    <t>1837-9664</t>
  </si>
  <si>
    <t>10.7150/jca.69639</t>
  </si>
  <si>
    <t>WOS:000819454200001</t>
  </si>
  <si>
    <t>Stogbauer, F; Weichert, W; Pfarr, N</t>
  </si>
  <si>
    <t>Stogbauer, Fabian; Weichert, Wilko; Pfarr, Nicole</t>
  </si>
  <si>
    <t>Liquid biopsy-possible applications for molecular tumor diagnostics</t>
  </si>
  <si>
    <t>Early Diagnosis; Screening; Molecular diagnostic techniques; Circulating neoplastic cells; Circulating tumor DNA</t>
  </si>
  <si>
    <t>CELL-FREE DNA; LUNG-CANCER; EGFR; NSCLC</t>
  </si>
  <si>
    <t>Background The analysis of bodily fluids (liquid biopsy) constitutes a minimally invasive and easily repeatable method for retrieving diagnostically evaluable sample material. Methods This article is based on selective literature research in the PubMed database on the topic of liquid biopsy. Results Liquid biopsies comprise predominantly blood, but also all other bodily fluids (urine, saliva, etc.). For subsequent examinations, relevant particles-including circulating tumor cells, cell-free nucleic acids, and exosomes-are isolated from the fluid. Various molecular diagnostic procedures can then be used to address different clinical questions. Potential clinical applications include screening and early diagnosis of malignant diseases, therapeutically relevant molecular tumor profiling, estimation of the response to a specific drug, therapeutic monitoring, and early detection of disease relapse. Potential drawbacks in the application of liquid biopsies relate to the relatively low numbers of circulating tumor cells or low amounts of cell-free nucleic acids in blood, to the sometimes complex isolation and analysis techniques, and to factors inherent to tumor biology, which can have an influence on the results and the value of the tests.</t>
  </si>
  <si>
    <t>[Stogbauer, Fabian; Weichert, Wilko; Pfarr, Nicole] Tech Univ Munich, Fak Med, Inst Allgemeine Pathol &amp; Pathol Anat, Trogerstr 18, D-81675 Munich, Germany</t>
  </si>
  <si>
    <t>Technical University of Munich</t>
  </si>
  <si>
    <t>Stogbauer, F (corresponding author), Tech Univ Munich, Fak Med, Inst Allgemeine Pathol &amp; Pathol Anat, Trogerstr 18, D-81675 Munich, Germany.</t>
  </si>
  <si>
    <t>fabian.stoegbauer@tum.de</t>
  </si>
  <si>
    <t>10.1007/s00761-019-00684-7</t>
  </si>
  <si>
    <t>NOV 2019</t>
  </si>
  <si>
    <t>WOS:000499433000001</t>
  </si>
  <si>
    <t>Huang, RR; He, L; Li, S; Liu, HN; Jin, L; Chen, Z; Zhao, YX; Li, ZY; Deng, Y; He, NY</t>
  </si>
  <si>
    <t>Huang, Rongrong; He, Lei; Li, Song; Liu, Hongna; Jin, Lian; Chen, Zhu; Zhao, Yongxiang; Li, Zhiyang; Deng, Yan; He, Nongyue</t>
  </si>
  <si>
    <t>A simple fluorescence aptasensor for gastric cancer exosome detection based on branched rolling circle amplification</t>
  </si>
  <si>
    <t>ELECTROCHEMICAL DETECTION; EXTRACELLULAR VESICLES</t>
  </si>
  <si>
    <t>Exosomes are membrane nanovesicles carrying molecular information that may reflect the biological and genetic characteristics of their parent cells. Numerous studies have demonstrated the potential of exo-somes as noninvasive cancer biomarkers. Hence, specific detection of cancer cell-derived exosomes is of significant importance. Here, we developed a fluorescence assay for the determination of gastric cancer exosomes based on branched rolling circle amplification (BRCA) and an aptamer to target specific exosomes. The designed padlock probe was cyclized after incubation with an aptamer binding with the target exosome. BRCA was triggered by adding a second primer and the resulting long tandem double-stranded DNA product was detected using SYBR Green I as the fluorescent dye. This method demonstrated a high specificity for target exosomes with a detection limit of 4.27 x 10(4) exosomes per mL. Moreover, plasma from gastric cancer patients was tested to verify the clinical applicability of this assay. Our results demonstrated that this aptamer-based biosensor may show potential for the early diagnosis of gastric cancer.</t>
  </si>
  <si>
    <t>[Huang, Rongrong; He, Lei; He, Nongyue] Southeast Univ, Natl Demonstrat Ctr Expt Biomed Engn Educ, Sch Biol Sci &amp; Med Engn, State Key Lab Bioelect, Nanjing 210096, Peoples R China; [Li, Song; Liu, Hongna; Jin, Lian; Chen, Zhu; Deng, Yan; He, Nongyue] Hunan Univ Technol, Hunan Key Lab Biomed Nanomat &amp; Devices, Collaborat Innovat Ctr Hunan Prov, Econ Forest Cultivat &amp; Utilizat 2011, Zhuzhou 412007, Peoples R China; [Zhao, Yongxiang; He, Nongyue] Guangxi Med Univ, Collaborat Innovat Ctr Targeting Tumor Theranost, Guangxi Key Lab Biotargeting Theranost, Natl Ctr Int Biotargeting Theranost, Guangxi 530021, Peoples R China; [Li, Zhiyang] Nanjing Univ, Affiliated Drum Tower Hosp, Med Sch, Dept Clin Lab, Nanjing 210008, Peoples R China</t>
  </si>
  <si>
    <t>Southeast University - China; Hunan University of Technology; Guangxi Medical University; Nanjing University</t>
  </si>
  <si>
    <t>He, NY (corresponding author), Southeast Univ, Natl Demonstrat Ctr Expt Biomed Engn Educ, Sch Biol Sci &amp; Med Engn, State Key Lab Bioelect, Nanjing 210096, Peoples R China.;Deng, Y; He, NY (corresponding author), Hunan Univ Technol, Hunan Key Lab Biomed Nanomat &amp; Devices, Collaborat Innovat Ctr Hunan Prov, Econ Forest Cultivat &amp; Utilizat 2011, Zhuzhou 412007, Peoples R China.;He, NY (corresponding author), Guangxi Med Univ, Collaborat Innovat Ctr Targeting Tumor Theranost, Guangxi Key Lab Biotargeting Theranost, Natl Ctr Int Biotargeting Theranost, Guangxi 530021, Peoples R China.;Li, ZY (corresponding author), Nanjing Univ, Affiliated Drum Tower Hosp, Med Sch, Dept Clin Lab, Nanjing 210008, Peoples R China.</t>
  </si>
  <si>
    <t>lizhiyangcn@qq.com; hndengyan@126.com; nyhe@seu.edu.cn</t>
  </si>
  <si>
    <t>LI, SONG/O-2663-2013; 李, 智洋/AAH-3884-2021</t>
  </si>
  <si>
    <t>Li, Zhiyang/0000-0002-4970-8494</t>
  </si>
  <si>
    <t>10.1039/c9nr08747h</t>
  </si>
  <si>
    <t>WOS:000517839900022</t>
  </si>
  <si>
    <t>Lobb, RJ; Hastie, ML; Norris, EL; van Amerongen, R; Gorman, JJ; Moller, A</t>
  </si>
  <si>
    <t>Lobb, Richard J.; Hastie, Marcus L.; Norris, Emma L.; van Amerongen, Rosa; Gorman, Jeffrey J.; Moeller, Andreas</t>
  </si>
  <si>
    <t>Oncogenic transformation of lung cells results in distinct exosome protein profile similar to the cell of origin</t>
  </si>
  <si>
    <t>PROTEOMICS</t>
  </si>
  <si>
    <t>diagnostic; EGFR; exosomes; non-small cell lung cancer</t>
  </si>
  <si>
    <t>CANCER; EGFR; MUTATION; METASTASIS; PHENOTYPE; DIAGNOSIS; TARGETS; PLASMA; DNA</t>
  </si>
  <si>
    <t>Lung cancer is responsible for the highest rate of cancer mortality worldwide. Lung cancer patients are often ineligible for tumor biopsies due to comorbidities. As a result, patients may not have the most effective treatment regimens administered. Patients with mutations in the epidermal growth factor receptor (EGFR) have improved survival in response to EGFR tyrosine kinase inhibitors. A noninvasive method of determining EGFR mutations in patients would have promising clinical applications. Exosomes have the potential to be noninvasive novel diagnostic markers in cancer. Using MS analysis, we identify differentially abundant cell and exosome proteins induced by mutations in p53 and EGFR in lung cells. Importantly, mutations in p53 and EGFR alter cell and exosome protein content compared to an isogenic normal lung epithelial cell. For some proteins, mutation had similar effects in the cell of origin and exosomes. Differences between the cells of origin and exosomes were also apparent, which may reflect specific packaging of proteins into exosomes. These findings that mutations alter protein abundance in exosomes suggest that analysis of exosomes may be beneficial in the diagnosis of oncogenic mutations.</t>
  </si>
  <si>
    <t>[Lobb, Richard J.; van Amerongen, Rosa; Moeller, Andreas] QIMR Berghofer Med Res Inst, Tumour Microenvironm Lab, Herston, Qld, Australia; [Hastie, Marcus L.; Norris, Emma L.; Gorman, Jeffrey J.] QIMR Berghofer Med Res Inst, Prot Discovery Ctr, Herston, Qld, Australia; [Gorman, Jeffrey J.] Univ Queensland, Inst Mol Biosci, Brisbane, Qld, Australia; [Moeller, Andreas] Univ Queensland, Sch Med, Brisbane, Qld, Australia</t>
  </si>
  <si>
    <t>QIMR Berghofer Medical Research Institute; QIMR Berghofer Medical Research Institute; University of Queensland; University of Queensland</t>
  </si>
  <si>
    <t>Moller, A (corresponding author), QIMR Berghofer Med Res Inst, Tumour Microenvironm Lab, Herston, Qld, Australia.</t>
  </si>
  <si>
    <t>andreas.moller@qimrberghofer.edu.au</t>
  </si>
  <si>
    <t>Hastie, Marcus L/L-4366-2016; Möller, Andreas/O-1063-2015</t>
  </si>
  <si>
    <t>Hastie, Marcus L/0000-0002-8386-5549; Möller, Andreas/0000-0002-8618-6998; van Amerongen, Rosa/0000-0002-5560-0957; Lobb, Richard/0000-0001-9548-8843</t>
  </si>
  <si>
    <t>1615-9853</t>
  </si>
  <si>
    <t>1615-9861</t>
  </si>
  <si>
    <t>23-24</t>
  </si>
  <si>
    <t>10.1002/pmic.201600432</t>
  </si>
  <si>
    <t>WOS:000418420500003</t>
  </si>
  <si>
    <t>Gan, WQ; Chen, X; Wu, ZQ; Zhu, X; Liu, J; Wang, T; Gao, ZL</t>
  </si>
  <si>
    <t>Gan, Weiqiang; Chen, Xi; Wu, Zeqian; Zhu, Xiang; Liu, Jing; Wang, Tong; Gao, Zhiliang</t>
  </si>
  <si>
    <t>The relationship between serum exosome HBV-miR-3 and current virological markers and its dynamics in chronic hepatitis B patients on antiviral treatment</t>
  </si>
  <si>
    <t>ANNALS OF TRANSLATIONAL MEDICINE</t>
  </si>
  <si>
    <t>Chronic hepatitis B (CHB); viral markers; exosome; microRNA; hepatitis B surface antigen (HBsAg)</t>
  </si>
  <si>
    <t>VIRUS; CELLS; INFECTION; MICROPARTICLES; ASSOCIATION; PARTICLES; PROTEINS; VESICLES; RECEPTOR</t>
  </si>
  <si>
    <t>Background: Hepatitis B virus (HBV) can encode microRNA-HBV-miR-3, which can be detected in both HBV-infected cell lines and peripheral blood exosomes of chronic hepatitis B (CHB) patients. This study was conducted to further evaluate its relationship with the current viral markers and their dynamics during antiviral therapy. Methods: We used Stem-loop real time quantitative PCR (RT-qPCR) to quantify HBV-miR-3 in the serum exosomes of CHB patients by extracting exosomes using the Supbio exosome separation kit and designing primers and Taqman probes specific for HBV-miR-3. We conducted a cross-sectional study and two cohort studies. In the cross-sectional study, 48 treatment-naive (TN) CHB patients were enrolled. In the nucleoside analogues (NAs) cohort study, 20 hepatitis B e antigen (HBeAg) negative CHB patients with negative HBV DNA on NA therapy were followed up for 96 weeks. In the NAs + pegylated interferon (Peg-IFN) cohort study, 40 patients with hepatitis B surface antigen (HBsAg) &lt;1,500 IU/mL, negative HBV DNA, and HBeAg after NAs treatment were enrolled and were switched to Peg-IFN therapy for 48 weeks. HBV-miR-3 titers and other viral markers were detected at different time points. Results: HBV-miR-3 only existed in CHB patients with a concentration of 6.41 +/- 3.55 log10 copies/mL. HBV-miR-3 was positively correlated with HBV DNA, pregenomic RNA (pgRNA), and HBsAg. In the NAs cohort, HBsAg, pgRNA, and HBV-miR-3 levels showed little fluctuation during the 96 weeks of NA treatment (P&gt;0.05). In the NAs + PEG-IFN cohort, HBsAg, pgRNA, and HBV-miR-3 levels declined significantly during the 48 weeks of sequential therapy (P&lt;0.05). Conclusions: HBV-miR-3 was positively correlated with HBV DNA, pgRNA, and particularly HBsAg in TN CHB patients. Peg-IFN following NA therapy had a positive impact on HBsAg, pgRNA, and HBVmiR-3 decrease.</t>
  </si>
  <si>
    <t>[Gan, Weiqiang; Wu, Zeqian; Zhu, Xiang; Liu, Jing; Gao, Zhiliang] Sun Yat Sen Univ, Affiliated Hosp 3, Dept Infect Dis, Guangzhou 510630, Peoples R China; [Gan, Weiqiang; Gao, Zhiliang] Sun Yat Sen Univ, Affiliated Hosp 3, Guangdong Key Lab Liver Dis Res, Guangzhou, Peoples R China; [Gan, Weiqiang; Gao, Zhiliang] Sun Yat Sen Univ, Minist Educ, Key Lab Trop Dis Control, Guangzhou, Peoples R China; [Chen, Xi; Wang, Tong] Jinan Univ, Inst Life &amp; Hlth Engn, Guangzhou 510632, Peoples R China</t>
  </si>
  <si>
    <t>Sun Yat Sen University; Sun Yat Sen University; Sun Yat Sen University; Jinan University</t>
  </si>
  <si>
    <t>Gao, ZL (corresponding author), Sun Yat Sen Univ, Affiliated Hosp 3, Dept Infect Dis, Guangzhou 510630, Peoples R China.;Wang, T (corresponding author), Jinan Univ, Inst Life &amp; Hlth Engn, Guangzhou 510632, Peoples R China.</t>
  </si>
  <si>
    <t>tongwang@email.jnu.edu.cn; gaozhl@mail.sysu.edu.cn</t>
  </si>
  <si>
    <t>Wang, Tong/A-2750-2011</t>
  </si>
  <si>
    <t>Wang, Tong/0000-0002-5980-3380</t>
  </si>
  <si>
    <t>2305-5839</t>
  </si>
  <si>
    <t>2305-5847</t>
  </si>
  <si>
    <t>10.21037/atm-22-2119</t>
  </si>
  <si>
    <t>WOS:000802758400001</t>
  </si>
  <si>
    <t>Lemoine, JL; Farley, R; Huang, L</t>
  </si>
  <si>
    <t>Mechanism of efficient transfection of the nasal airway epithelium by hypotonic shock</t>
  </si>
  <si>
    <t>GENE THERAPY</t>
  </si>
  <si>
    <t>airway; gene transfer; naked DNA; hypotonic shock; mechanism</t>
  </si>
  <si>
    <t>CELL-VOLUME REGULATION; CFTR GENE-TRANSFER; CYSTIC-FIBROSIS; PLASMID DNA; ATP RELEASE; EXTRACELLULAR ATP; EXPRESSION; SECRETION; MOLECULES; INJECTION</t>
  </si>
  <si>
    <t>The main barrier to gene transfer in the airway epithelium is the low rate of apical endocytosis limiting naked DNA uptake. Deionized water is known to stimulate the exocytosis of numerous intracellular vesicles during hypotonic cell swelling, in order to expand plasma membrane and prevent cell lysis. This is followed by the phase of regulatory volume decrease (RVD), during which the excess plasma membrane is retrieved by intensive endocytosis. Here we show that the more hypotonic the DNA solution, the higher the transfection of the nasal tissue. P2 receptors are known to be involved in RVD and we demonstrate that some P2 agonists and a P2 antagonist impair transfection in a time-dependent manner. Our study strongly suggests that the nasal airway epithelial cells take up plasmid DNA in deionized water during RVD, within approximately half an hour. Our simple gene delivery system may constitute a promising method for respiratory tract gene therapy.</t>
  </si>
  <si>
    <t>Univ Pittsburgh, Sch Pharm, Ctr Pharmacogenet, Pittsburgh, PA 15213 USA; Univ London Imperial Coll Sci Technol &amp; Med, Natl Heart &amp; Lung Inst, Dept Gene Therapy, London, England</t>
  </si>
  <si>
    <t>Pennsylvania Commonwealth System of Higher Education (PCSHE); University of Pittsburgh; Imperial College London</t>
  </si>
  <si>
    <t>Huang, L (corresponding author), Univ Pittsburgh, Sch Pharm, Ctr Pharmacogenet, 633 Salk Hall,3501 Terrace St, Pittsburgh, PA 15213 USA.</t>
  </si>
  <si>
    <t>0969-7128</t>
  </si>
  <si>
    <t>1476-5462</t>
  </si>
  <si>
    <t>10.1038/sj.gt.3302548</t>
  </si>
  <si>
    <t>Biochemistry &amp; Molecular Biology; Biotechnology &amp; Applied Microbiology; Genetics &amp; Heredity; Medicine, Research &amp; Experimental</t>
  </si>
  <si>
    <t>Biochemistry &amp; Molecular Biology; Biotechnology &amp; Applied Microbiology; Genetics &amp; Heredity; Research &amp; Experimental Medicine</t>
  </si>
  <si>
    <t>WOS:000231019700006</t>
  </si>
  <si>
    <t>Zhang, XW; Liu, MX; He, MQ; Chen, S; Yu, YL; Wang, JH</t>
  </si>
  <si>
    <t>Zhang, Xue-Wei; Liu, Meng-Xian; He, Meng-Qi; Chen, Shuai; Yu, Yong-Liang; Wang, Jian-Hua</t>
  </si>
  <si>
    <t>Integral Multielement Signals by DNA-Programmed UCNP-AuNP Nanosatellite Assemblies for Ultrasensitive ICP-MS Detection of Exosomal Proteins and Cancer Identification</t>
  </si>
  <si>
    <t>CIRCULATING EXOSOMES; MARKERS; ASSAY; QUANTIFICATION; BIOMARKERS; MICRORNAS; CELLS</t>
  </si>
  <si>
    <t>Exosomes are expected to be used as cancer biomarkers because they carry a variety of cancer-related proteins inherited from parental cells. However, it is still challenging to develop a sensitive, robust, and high-throughput technique for simultaneous detection of exosomal proteins. Herein, three aptamers specific to cancer-associated proteins (CD63, EpCAM, and HER2) are selected to connect gold nanoparticles (AuNPs) as core with three different elements (Y, Eu, and Tb) doped up-conversion nanoparticles (UCNPs) as satellites, thereby forming three nanosatellite assemblies. The presence of exosomes causes specific aptamers to recognize surface proteins and release the corresponding UCNPs, which can be simultaneously detected by inductively coupled plasma-mass spectrometry (ICP-MS). It is worth noting that rare earth elements are scarcely present in living systems, which minimize the background for ICP-MS detection and exclude potential interferences from the coexisting species. Using this method, we are able to simultaneously detect three exosomal proteins within 40 min, and the limit of detection for exosome is 4.7 x 103 particles/mL. The exosomes from seven different cell lines (L-02, HepG2, GES-1, MGC803, AGS, HeLa, and MCF-7) can be distinguished with 100% accuracy by linear discriminant analysis. In addition, this analytical strategy is successfully used to detect exosomes in clinical samples to distinguish stomach cancer patients from healthy individuals. These results suggest that this sensitive and high-throughput analytical strategy based on ICP-MS has the potential to play an important role in the detection of multiple exosomal proteins and the identification of early cancer.</t>
  </si>
  <si>
    <t>[Zhang, Xue-Wei; Liu, Meng-Xian; He, Meng-Qi; Yu, Yong-Liang; Wang, Jian-Hua] Northeastern Univ, Coll Sci, Res Ctr Analyt Sci, Dept Chem, Shenyang 110819, Peoples R China; [Chen, Shuai] Northeastern Univ, Coll Life &amp; Hlth Sci, Shenyang 110169, Peoples R China</t>
  </si>
  <si>
    <t>Northeastern University - China; Northeastern University - China</t>
  </si>
  <si>
    <t>Yu, YL (corresponding author), Northeastern Univ, Coll Sci, Res Ctr Analyt Sci, Dept Chem, Shenyang 110819, Peoples R China.;Chen, S (corresponding author), Northeastern Univ, Coll Life &amp; Hlth Sci, Shenyang 110169, Peoples R China.</t>
  </si>
  <si>
    <t>chenshuai@mail.neu.edu.cn; yuyl@mail.neu.edu.cn</t>
  </si>
  <si>
    <t>Chen, Shuai/0000-0002-9950-6049</t>
  </si>
  <si>
    <t>APR 27</t>
  </si>
  <si>
    <t>10.1021/acs.analchem.1c00152</t>
  </si>
  <si>
    <t>WOS:000645428400019</t>
  </si>
  <si>
    <t>Siddaiah, R; Emery, L; Stephens, H; Donnelly, A; Erkinger, J; Wisecup, K; Hicks, SD; Kawasawa, YI; Oji-Mmuo, C; Amatya, S; Silveyra, P</t>
  </si>
  <si>
    <t>Siddaiah, Roopa; Emery, Lucy; Stephens, Heather; Donnelly, Ann; Erkinger, Jennifer; Wisecup, Kimberly; Hicks, Steven D.; Kawasawa, Yuka Imamura; Oji-Mmuo, Christiana; Amatya, Shaili; Silveyra, Patricia</t>
  </si>
  <si>
    <t>Early Salivary miRNA Expression in Extreme Low Gestational Age Newborns</t>
  </si>
  <si>
    <t>LIFE-BASEL</t>
  </si>
  <si>
    <t>miRNA; BPD; tracheal aspirate; saliva sample; chronic lung disease</t>
  </si>
  <si>
    <t>MICRORNA; PROLIFERATION; DIAGNOSTICS; PROMOTES; EXOSOMES; DISEASE; GENES; CELLS</t>
  </si>
  <si>
    <t>Background: MicroRNAs (miRNA) are small non-coding RNAs that regulate gene expression playing a key role in organogenesis. MiRNAs are studied in tracheal aspirates (TA) of preterm infants. However; this is difficult to obtain in infants who are not intubated. This study examines early salivary miRNA expression as non-invasive early biomarkers in extremely low gestational age newborns (ELGANs). Methods: Saliva was collected using DNA-genotek swabs, miRNAs were analyzed using RNA seq and RT PCR arrays. Salivary miRNA expression was compared to TA using RNA seq at 3 days of age, and longitudinal changes at 28 days of age were analyzed using RT PCR arrays in ELGANs. Results: Approximately 822 ng of RNA was extracted from saliva of 7 ELGANs; Of the 757 miRNAs isolated, 161 miRNAs had significant correlation in saliva and TA at 3 days of age (r = 0.97). Longitudinal miRNA analysis showed 29 miRNAs downregulated and 394 miRNAs upregulated at 28 days compared to 3 days of age (adjusted p &lt; 0.1). Bioinformatic analysis (Ingenuity Pathway Analysis) of differentially expressed miRNAs identified organismal injury and abnormalities and cellular development as the top physiological system development and cellular function. Conclusion: Salivary miRNA expression are source for early biomarkers of underlying pathophysiology in ELGANs.</t>
  </si>
  <si>
    <t>[Siddaiah, Roopa; Stephens, Heather; Wisecup, Kimberly; Hicks, Steven D.; Oji-Mmuo, Christiana; Amatya, Shaili] Penn State Hlth Childrens Hosp, Dept Pediat, Hershey, PA 17036 USA; [Emery, Lucy] Penn State Hlth Coll Med, Hershey, PA 17036 USA; [Donnelly, Ann; Erkinger, Jennifer] Penn State Hlth Childrens Hosp, Dept Resp Therapy, Hershey, PA 17036 USA; [Kawasawa, Yuka Imamura] Penn State Hlth Coll Med, Dept Pharmacol, Hershey, PA 17036 USA; [Kawasawa, Yuka Imamura] Penn State Hlth Coll Med, Dept Biochem &amp; Mol Biol, Hershey, PA 17036 USA; [Silveyra, Patricia] Indiana Univ, Sch Publ Hlth, Dept Environm &amp; Occupat Hlth, Bloomington, IN 47405 USA</t>
  </si>
  <si>
    <t>Pennsylvania Commonwealth System of Higher Education (PCSHE); Pennsylvania State University; Penn State Health; Pennsylvania Commonwealth System of Higher Education (PCSHE); Pennsylvania State University; Penn State Health; Pennsylvania Commonwealth System of Higher Education (PCSHE); Pennsylvania State University; Penn State Health; Pennsylvania Commonwealth System of Higher Education (PCSHE); Pennsylvania State University; Penn State Health; Pennsylvania Commonwealth System of Higher Education (PCSHE); Pennsylvania State University; Penn State Health; Indiana University System; Indiana University Bloomington</t>
  </si>
  <si>
    <t>Siddaiah, R (corresponding author), Penn State Hlth Childrens Hosp, Dept Pediat, Hershey, PA 17036 USA.</t>
  </si>
  <si>
    <t>rsiddaiah@pennstatehealth.psu.edu; lemery@pennstatehealth.psu.edu; hstephens@pennstatehealth.psu.edu; adonnelly@pennstatehealth.psu.edu; jerkinger@pennstatehealth.psu.edu; kwisecup@pennstatehealth.psu.edu; shicksl@pennstatehealth.psu.edu; yimamura@pennstatehealth.psu.edu; cjimmuo@pennstatehealth.psu.edu; samatya@pennstatehealth.psu.edu; psilveyr@iu.edu</t>
  </si>
  <si>
    <t>Silveyra, Patricia/A-7136-2018</t>
  </si>
  <si>
    <t>Silveyra, Patricia/0000-0001-7083-8915; Siddaiah, Roopa/0000-0001-9184-3908; Hicks, Steven/0000-0002-9579-6798</t>
  </si>
  <si>
    <t>2075-1729</t>
  </si>
  <si>
    <t>10.3390/life12040506</t>
  </si>
  <si>
    <t>Biology; Microbiology</t>
  </si>
  <si>
    <t>Life Sciences &amp; Biomedicine - Other Topics; Microbiology</t>
  </si>
  <si>
    <t>WOS:000785333700001</t>
  </si>
  <si>
    <t>Siva, S; Lobachevsky, P; MacManus, MP; Kron, T; Moller, A; Lobb, RJ; Ventura, J; Best, N; Smith, J; Ball, D; Martin, OA</t>
  </si>
  <si>
    <t>Siva, Shankar; Lobachevsky, Pavel; MacManus, Michael P.; Kron, Tomas; Moller, Andreas; Lobb, Richard J.; Ventura, Jessica; Best, Nickala; Smith, Jai; Ball, David; Martin, Olga A.</t>
  </si>
  <si>
    <t>Radiotherapy for Non-Small Cell Lung Cancer Induces DNA Damage Response in Both Irradiated and Out-of-field Normal Tissues</t>
  </si>
  <si>
    <t>DOUBLE-STRAND BREAKS; PERIPHERAL-BLOOD LYMPHOCYTES; PRIMARY HUMAN FIBROBLASTS; IONIZING-RADIATION; DOSE-DISTRIBUTION; GAMMA-H2AX ASSAY; IN-VIVO; THERAPY; REPAIR; EXOSOMES</t>
  </si>
  <si>
    <t>Purpose: To study the response of irradiated and out-of-field normal tissues during localized curative intent radiotherapy. Experimental Design: Sixteen patients with non-small cell lung carcinoma (NSCLC) received 60 Gy in 30 fractions of definitive thoracic radiotherapy with or without concurrent chemotherapy. Peripheral blood lymphocytes (PBL) and eyebrow hairs were sampled prior, during, and after radiotherapy. Clinical variables of radiotherapy dose/volume, patient age, and use of chemoradiotherapy were tested for association with gamma-H2AX foci, a biomarker of DNA damage that underlies cellular response to irradiation. Results: Radiotherapy induced an elevation of gamma-112AX foci in PBL, representing normal tissues in the irradiated volume, 1 hour after fraction one. The changes correlated directly with mean lung dose and inversely with age. gamma-H2AX foci numbers returned to near baseline values in 24 hours and were not significantly different from controls at 4 weeks during radiotherapy or 12 weeks after treatment completion. In contrast, unirradiated hair follicles, a surrogate model for out-of-field normal tissues, exhibited delayed abscopal DNA damage response. gamma-H2AX foci significantly increased at 24 hours post-fraction one and remained elevated during treatment, in a dose-independent manner. This observed abscopal effect was associated with changes in plasma levels of MDC/CCL22 and MIP-1 alpha/CCL3 cytokines. No concordant changes in size and concentration of circulating plasma exosomes were observed. Conclusions: Both localized thoracic radiotherapy and chemoradiotherapy induce pronounced systemic DNA damage in normal tissues. Individual assessment of biologic response to dose delivered during radiotherapy may allow for therapeutic personalization for patients with NSCLC. (C) 2016 AACR.</t>
  </si>
  <si>
    <t>[Siva, Shankar; Lobachevsky, Pavel; MacManus, Michael P.; Kron, Tomas; Ball, David; Martin, Olga A.] Univ Melbourne, Sir Peter MacCallum Dept Oncol, Melbourne, Vic, Australia; [Siva, Shankar; MacManus, Michael P.; Ball, David; Martin, Olga A.] Peter MacCallum Canc Ctr, Div Radiat Oncol &amp; Canc Imaging, East Melbourne, Vic, Australia; [Lobachevsky, Pavel; Ventura, Jessica; Best, Nickala; Smith, Jai; Martin, Olga A.] Peter MacCallum Canc Ctr, Canc Cell Biol Program, Mol Radiat Biol Lab, East Melbourne, Vic, Australia; [Kron, Tomas] Peter MacCallum Canc Ctr, Dept Phys Sci, East Melbourne, Vic, Australia; [Moller, Andreas; Lobb, Richard J.] QIMR Berghofer Med Res Inst, Tumour Microenvironm Lab, Herston, Qld, Australia</t>
  </si>
  <si>
    <t>Peter Maccallum Cancer Center; University of Melbourne; Peter Maccallum Cancer Center; Peter Maccallum Cancer Center; Peter Maccallum Cancer Center; QIMR Berghofer Medical Research Institute</t>
  </si>
  <si>
    <t>Siva, S (corresponding author), Peter MacCallum Canc Ctr, St Andrews Pl, East Melbourne, Vic 3002, Australia.</t>
  </si>
  <si>
    <t>shankar.siva@petermac.org</t>
  </si>
  <si>
    <t>Kron, Tomas/A-7217-2010; Lobachevsky, Pavel/AAG-9157-2021; Möller, Andreas/O-1063-2015</t>
  </si>
  <si>
    <t>Kron, Tomas/0000-0002-5189-4046; Möller, Andreas/0000-0002-8618-6998; Lobb, Richard/0000-0001-9548-8843; Smith, Jai/0000-0003-4997-6189; MacManus, Michael/0000-0002-0900-5815; Martin (nee Sedelnikova), Olga/0000-0003-3470-2935</t>
  </si>
  <si>
    <t>10.1158/1078-0432.CCR-16-0138</t>
  </si>
  <si>
    <t>WOS:000385630500009</t>
  </si>
  <si>
    <t>Majewski, M; Nestler, T; Kagler, S; Richardsen, I; Ruf, CG; Matthies, C; Willms, A; Schmelz, HU; Wagner, W; Schwab, R; Abend, M</t>
  </si>
  <si>
    <t>Majewski, Matthaeus; Nestler, Tim; Kaegler, Sebastian; Richardsen, Ines; Ruf, Christian G.; Matthies, Cord; Willms, Arnulf; Schmelz, Hans-Ulrich; Wagner, Walter; Schwab, Robert; Abend, Michael</t>
  </si>
  <si>
    <t>Liquid Biopsy Using Whole Blood from Testis Tumor and Colon Cancer PatientsA New and Simple Way?</t>
  </si>
  <si>
    <t>HEALTH PHYSICS</t>
  </si>
  <si>
    <t>Conrad-Global Conference on Radiation Topics - Preparedness, Response, Protection, and Research</t>
  </si>
  <si>
    <t>MAY 08-11, 2017</t>
  </si>
  <si>
    <t>Univ Ulm, Bundeswehr Inst Radiobiol, Munich, GERMANY</t>
  </si>
  <si>
    <t>Univ Ulm, Bundeswehr Inst Radiobiol</t>
  </si>
  <si>
    <t>blood; cancer; DNA; tumors</t>
  </si>
  <si>
    <t>RNA; MICROVESICLES; EXPRESSION; VESICLES; INHIBITION; BIOMARKERS; PROTEINS</t>
  </si>
  <si>
    <t>Tumor cells shed exosomes, which are released to the blood. Detecting tumor-derived exosomes containing RNA in plasma (liquid biopsy) is currently being investigated for early identification of occult metastases or relapses. Isolation of exosomes is laborious, resulting in low RNA yields. As a more robust (but less sensitive) alternative, the authors examined whether whole blood can be used as well. Tumor samples from nonmetastasized seminoma (n = 5) and colon cancer patients (n = 6) were taken during surgery. Whole-blood samples were taken before and 5-7 d after surgery. A whole genome mRNA microarray screening was performed. Candidate genes were selected based on two criteria: (1) gene expression in the presurgical whole-blood sample/tumor biopsy; and (2) a two-fold decrease in the copy number of candidate genes was expected in the postsurgical whole-blood sample 5-7 d after intervention, relative to the presurgical blood sample. The rationale behind this is the loss of tumor material in the body and the decline in the release of tumor-derived RNA in exosomes. For both tumor entities and for each patient, several hundred candidate genes could be identified. In a group-wise comparison, 20 candidate genes could be identified in the seminoma and 32 in the colon cancer group. These findings indicate that whole blood might be suitable for a liquid biopsy. However, this study identified the short period after surgery (5-7 d) as a possible confounder. The authors plan to add an additional time point several weeks after the operation to discriminate tumor candidate genes from genes induced by the surgery.</t>
  </si>
  <si>
    <t>[Majewski, Matthaeus; Abend, Michael] Univ Ulm, Bundeswehr Inst Radiobiol, Neuherbergstr 11, D-80804 Munich, Germany; [Nestler, Tim; Ruf, Christian G.; Schmelz, Hans-Ulrich] Bundeswehr Cent Hosp, Dept Urol, Rubenacher Str 170, D-56072 Koblenz, Germany; [Kaegler, Sebastian; Matthies, Cord; Wagner, Walter] Bundeswehr Hosp Hamburg, Dept Urol, Lesserstr 180, D-22049 Hamburg, Germany; [Richardsen, Ines; Willms, Arnulf; Schwab, Robert] Bundeswehr Cent Hosp, Dept Gen Visceral &amp; Thorac Surg, Rubenacher Str 170, D-56072 Koblenz, Germany</t>
  </si>
  <si>
    <t>Ulm University</t>
  </si>
  <si>
    <t>Majewski, M (corresponding author), Univ Ulm, Bundeswehr Inst Radiobiol, Neuherbergstr 11, D-80804 Munich, Germany.</t>
  </si>
  <si>
    <t>matthaeusmajewski@bundeswehr.org</t>
  </si>
  <si>
    <t>Willms, A./AFN-0812-2022</t>
  </si>
  <si>
    <t>Willms, A./0000-0001-9998-6735</t>
  </si>
  <si>
    <t>0017-9078</t>
  </si>
  <si>
    <t>1538-5159</t>
  </si>
  <si>
    <t>10.1097/HP.0000000000000867</t>
  </si>
  <si>
    <t>Environmental Sciences; Public, Environmental &amp; Occupational Health; Nuclear Science &amp; Technology; Radiology, Nuclear Medicine &amp; Medical Imaging</t>
  </si>
  <si>
    <t>Environmental Sciences &amp; Ecology; Public, Environmental &amp; Occupational Health; Nuclear Science &amp; Technology; Radiology, Nuclear Medicine &amp; Medical Imaging</t>
  </si>
  <si>
    <t>WOS:000434256100014</t>
  </si>
  <si>
    <t>Del Re, M; Conteduca, V; Crucitta, S; Gurioli, G; Casadei, C; Restante, G; Schepisi, G; Lolli, C; Cucchiara, F; Danesi, R; De Giorgi, U</t>
  </si>
  <si>
    <t>Del Re, M.; Conteduca, V.; Crucitta, S.; Gurioli, G.; Casadei, C.; Restante, G.; Schepisi, G.; Lolli, C.; Cucchiara, F.; Danesi, R.; De Giorgi, U.</t>
  </si>
  <si>
    <t>Androgen receptor gain in circulating free DNA and splicing variant 7 in exosomes predict clinical outcome in CRPC patients treated with abiraterone and enzalutamide</t>
  </si>
  <si>
    <t>PROSTATE CANCER AND PROSTATIC DISEASES</t>
  </si>
  <si>
    <t>RESISTANT PROSTATE-CANCER; INCREASED SURVIVAL; TUMOR-CELLS</t>
  </si>
  <si>
    <t>Background Androgen receptor (AR) signaling inhibitors represent the standard treatment in metastatic castration resistance prostate cancer (mCRPC) patients. However, some patients display a primary resistance, and several studies investigated the role of the AR as a predictive biomarker of response to treatment. This study is aimed to evaluate the role of AR in liquid biopsy to predict clinical outcome to AR signaling inhibitors in mCRPC patients. Methods Six milliliters of plasma samples were collected before first-line treatment with abiraterone or enzalutamide. Circulating free DNA (cfDNA) and exosome-RNA were isolated for analysis of AR gain and AR splice variant 7 (AR-V7), respectively, by digital droplet PCR. Results Eighty-four mCRPC patients received abiraterone (n = 40) or enzalutamide (n = 44) as first-line therapy. Twelve patients (14.3%) presented AR gain and 30 (35.7%) AR-V7+ at baseline. Median progression-free survival (PFS) and overall survival (OS) were significantly longer in AR-V7- vs AR-V7+ patients (24.3 vs 5.4 months, p &lt; 0.0001; not reached vs 16.2 months, p = 0.0001, respectively). Patients carrying the AR gain had a median PFS of 4.8 vs 24.3 months for AR normal patients (p &lt; 0.0001). Median OS was significantly longer in AR normal vs patients with AR gain (not reached vs 8.17 months, p &lt; 0.0001). A significant correlation between AR-V7 and AR gain was observed (r = 0.28; p = 0.01). The AR gain/AR-V7 combined analysis confirmed a strong predictive effect for biomarkers combination vs patients without any AR aberration (PFS 3.8 vs 28 month, respectively; OS 6.1 vs not reached, respectively; p &lt; 0.0001). Conclusions The present study demonstrates that cfDNA and exosome-RNA are both a reliable source of AR variants and their combined detection in liquid biopsy predicts resistance to AR signaling inhibitors.</t>
  </si>
  <si>
    <t>[Del Re, M.; Crucitta, S.; Restante, G.; Cucchiara, F.; Danesi, R.] Univ Hosp Pisa, Dept Clin &amp; Expt Med, Unit Clin Pharmacol &amp; Pharmacogenet, Pisa, Italy; [Conteduca, V.; Gurioli, G.; Casadei, C.; Schepisi, G.; Lolli, C.; De Giorgi, U.] Ist Sci Romagnolo Studio &amp; Cura Tumori IRST IRCCS, Dept Med Oncol, Meldola, Italy</t>
  </si>
  <si>
    <t>University of Pisa; Azienda Ospedaliero Universitaria Pisana; IRCCS Meldola (IRST)</t>
  </si>
  <si>
    <t>Danesi, R (corresponding author), Univ Hosp Pisa, Dept Clin &amp; Expt Med, Unit Clin Pharmacol &amp; Pharmacogenet, Pisa, Italy.</t>
  </si>
  <si>
    <t>romano.danesi@unipi.it</t>
  </si>
  <si>
    <t>Danesi, Romano/AAC-9410-2019; Lolli, Cristian/AAC-4116-2022; Cucchiara, Federico/AAV-1872-2020; Danesi, Romano/J-7239-2018; Del Re, Marzia/J-6468-2018; Conteduca, Vincenza/E-8640-2019</t>
  </si>
  <si>
    <t>Danesi, Romano/0000-0002-4414-8934; Cucchiara, Federico/0000-0002-0946-750X; Danesi, Romano/0000-0002-4414-8934; Del Re, Marzia/0000-0001-7343-6161; Conteduca, Vincenza/0000-0002-6921-714X</t>
  </si>
  <si>
    <t>1365-7852</t>
  </si>
  <si>
    <t>1476-5608</t>
  </si>
  <si>
    <t>10.1038/s41391-020-00309-w</t>
  </si>
  <si>
    <t>Oncology; Urology &amp; Nephrology</t>
  </si>
  <si>
    <t>WOS:000611930300001</t>
  </si>
  <si>
    <t>Da, M; Jiang, H; Xie, YY; Jin, WL; Han, SW</t>
  </si>
  <si>
    <t>Da, Miao; Jiang, Hao; Xie, Yangyang; Jin, Weili; Han, Shuwen</t>
  </si>
  <si>
    <t>The Biological Roles of Exosomal Long Non-Coding RNAs in Cancers</t>
  </si>
  <si>
    <t>ONCOTARGETS AND THERAPY</t>
  </si>
  <si>
    <t>exosome; long non-coding RNAs; cancer</t>
  </si>
  <si>
    <t>HEPATOCELLULAR-CARCINOMA; NONINVASIVE BIOMARKER; PROMOTES ANGIOGENESIS; COLORECTAL-CANCER; POOR-PROGNOSIS; SERUM; PROGRESSION; METASTASIS; CELLS; TRANSCRIPT</t>
  </si>
  <si>
    <t>Although it has many treatment strategies, cancer is still one of the most common causes of morbidity and mortality in the world. Exosomes are small extracellular vesicles (EVs) that can be secreted by almost all cells. Exosomes can encapsulate various types of molecules, including lipids, proteins, DNA, messenger RNAs, and non-coding RNAs [microRNAs (miRNAs) and long non-coding RNAs (IncRNAs)]. Exosome release is a way of communication between cells. They act as powerful signaling molecules between cancer cells and the surrounding cells that make up the cancer microenvironment. lncRNAs are a class of non-coding P, with a length of more than 200 bp, which are differentially expressed in many cancers. lncRNAs have been widely regarded as a new medium for cancer behavior. The presence of lncRNAs in circulation can be acellular or encapsulated in exosomal bodies released by cancer cells. Exosomal lncRNAs are functional and can transmit different phenotypic patterns to neighboring cells. Here, we reviewed the molecular mechanism of exosomal lncRNAs in regulating cancer progression, angiogenesis, and chemotherapy resistance, as well as the prospective applications of exosomal lncRNAs in cancer diagnosis, treatment and prognosis. These findings potentially promote the current understanding of exosomal lncRNAs and provide a new research direction for exosomal lncRNAs in cancer prevention, diagnosis, and treatment.</t>
  </si>
  <si>
    <t>[Da, Miao; Jiang, Hao] Huzhou Third Municipal Hosp, Dept Nursing, Huzhou, Zhejiang, Peoples R China; [Xie, Yangyang] Key Lab Diag &amp; Treatment Digest Syst Canc Zhejian, Ningbo 315000, Zhejiang, Peoples R China; [Jin, Weili] Nanxun Dist Peoples Hosp, Dept Gastroenterol, Huzhou 313009, Zhejiang, Peoples R China; [Han, Shuwen] HuZhou Univ, Huzhou Cent Hosp, Dept Oncol, Affiliated Cent Hosp, 1558 Sanhuan North Rd, Huzhou, Zhejiang, Peoples R China</t>
  </si>
  <si>
    <t>Huzhou University</t>
  </si>
  <si>
    <t>Han, SW (corresponding author), HuZhou Univ, Huzhou Cent Hosp, Dept Oncol, Affiliated Cent Hosp, 1558 Sanhuan North Rd, Huzhou, Zhejiang, Peoples R China.</t>
  </si>
  <si>
    <t>shuwenhan985@163.com</t>
  </si>
  <si>
    <t>Han, Shuwen/0000-0001-6180-9565</t>
  </si>
  <si>
    <t>1178-6930</t>
  </si>
  <si>
    <t>10.2147/OTT.S281175</t>
  </si>
  <si>
    <t>Biotechnology &amp; Applied Microbiology; Oncology</t>
  </si>
  <si>
    <t>WOS:000607627300001</t>
  </si>
  <si>
    <t>Pinto, DO; DeMarino, C; Vo, TT; Cowen, M; Kim, Y; Pleet, ML; Barclay, RA; Noren Hooten, N; Evans, MK; Heredia, A; Batrakova, EV; Iordanskiy, S; Kashanchi, F</t>
  </si>
  <si>
    <t>Pinto, Daniel O.; DeMarino, Catherine; Vo, Thy T.; Cowen, Maria; Kim, Yuriy; Pleet, Michelle L.; Barclay, Robert A.; Noren Hooten, Nicole; Evans, Michele K.; Heredia, Alonso; Batrakova, Elena, V; Iordanskiy, Sergey; Kashanchi, Fatah</t>
  </si>
  <si>
    <t>Low-Level Ionizing Radiation Induces Selective Killing of HIV-1-Infected Cells with Reversal of Cytokine Induction Using mTOR Inhibitors</t>
  </si>
  <si>
    <t>HIV-1; autophagy; extracellular vesicles; latency reversal; Ionizing radiation; cell death; shock and kill; mTOR inhibition; HIV-1 therapy; inflammation</t>
  </si>
  <si>
    <t>HIV-INFECTED PATIENTS; LONG TERMINAL REPEAT; REACTIVE OXYGEN; TRANSCRIPTIONAL REGULATION; ELONGATION-FACTORS; VIRAL PERSISTENCE; IMMUNE-ACTIVATION; LATENCY REVERSAL; DNA-DAMAGE; LIFE-SPAN</t>
  </si>
  <si>
    <t>HIV-1 infects 39.5 million people worldwide, and cART is effective in preventing viral spread by reducing HIV-1 plasma viral loads to undetectable levels. However, viral reservoirs persist by mechanisms, including the inhibition of autophagy by HIV-1 proteins (i.e., Nef and Tat). HIV-1 reservoirs can be targeted by the shock and kill strategy, which utilizes latency-reversing agents (LRAs) to activate latent proviruses and immunotarget the virus-producing cells. Yet, limitations include reduced LRA permeability across anatomical barriers and immune hyper-activation. Ionizing radiation (IR) induces effective viral activation across anatomical barriers. Like other LRAs, IR may cause inflammation and modulate the secretion of extracellular vesicles (EVs). We and others have shown that cells may secrete cytokines and viral proteins in EVs and, therefore, LRAs may contribute to inflammatory EVs. In the present study, we mitigated the effects of IR-induced inflammatory EVs (i.e., TNF-alpha), through the use of mTOR inhibitors (mTORi; Rapamycin and INK128). Further, mTORi were found to enhance the selective killing of HIV-1-infected myeloid and T-cell reservoirs at the exclusion of uninfected cells, potentially via inhibition of viral transcription/translation and induction of autophagy. Collectively, the proposed regimen using cART, IR, and mTORi presents a novel approach allowing for the targeting of viral reservoirs, prevention of immune hyper-activation, and selectively killing latently infected HIV-1 cells.</t>
  </si>
  <si>
    <t>[Pinto, Daniel O.; DeMarino, Catherine; Vo, Thy T.; Cowen, Maria; Kim, Yuriy; Pleet, Michelle L.; Barclay, Robert A.; Kashanchi, Fatah] George Mason Univ, Sch Syst Biol, Lab Mol Virol, Manassas, VA 20110 USA; [Noren Hooten, Nicole; Evans, Michele K.] NIA, Lab Epidemiol &amp; Populat Sci, NIH, Baltimore, MD 21224 USA; [Heredia, Alonso] Univ Maryland, Sch Med, Inst Human Virol, Baltimore, MD 21201 USA; [Batrakova, Elena, V] Univ N Carolina, Dept Med, HIV Cure Ctr, Chapel Hill, NC 27599 USA; [Batrakova, Elena, V] Univ N Carolina, Sch Med, Chapel Hill, NC 27599 USA; [Iordanskiy, Sergey] Uniformed Serv Univ Hlth Sci, Dept Pharmacol &amp; Mol Therapeut, Bethesda, MD 20814 USA</t>
  </si>
  <si>
    <t>George Mason University; National Institutes of Health (NIH) - USA; NIH National Institute on Aging (NIA); University System of Maryland; University of Maryland Baltimore; University of North Carolina; University of North Carolina Chapel Hill; University of North Carolina; University of North Carolina Chapel Hill; University of North Carolina School of Medicine; Uniformed Services University of the Health Sciences - USA</t>
  </si>
  <si>
    <t>Kashanchi, F (corresponding author), George Mason Univ, Sch Syst Biol, Lab Mol Virol, Manassas, VA 20110 USA.</t>
  </si>
  <si>
    <t>dpintol@gmu.edu; cdemarin@gmu.edu; tthyvo@gmail.com; mcowen4@gmu.edu; ykim78@gmu.edu; mpleet@gmu.edu; rbarclay@gmu.edu; norenhootenn@mail.nih.gov; me42v@nih.gov; aheredia@ihv.umaryland.edu; batrakova@unc.edu; sergey.iordanskiy@usuhs.edu; fkashanc@gmu.edu</t>
  </si>
  <si>
    <t>Noren Hooten, Nicole/J-5498-2019</t>
  </si>
  <si>
    <t>Noren Hooten, Nicole/0000-0002-1683-3838</t>
  </si>
  <si>
    <t>10.3390/v12080885</t>
  </si>
  <si>
    <t>WOS:000578980600001</t>
  </si>
  <si>
    <t>Lee, DH; Yoon, H; Park, S; Kim, JS; Ahn, YH; Kwon, K; Lee, D; Kim, KH</t>
  </si>
  <si>
    <t>Lee, Dong Hyeon; Yoon, Hana; Park, Sanghui; Kim, Jeong Seon; Ahn, Young-Ho; Kwon, Kihwan; Lee, Donghwan; Kim, Kwang Hyun</t>
  </si>
  <si>
    <t>Urinary Exosomal and cell-free DNA Detects Somatic Mutation and Copy Number Alteration in Urothelial Carcinoma of Bladder</t>
  </si>
  <si>
    <t>CIRCULATING TUMOR DNA; GENOMIC DNA; EXTRACELLULAR VESICLES; PANCREATIC-CANCER; LIQUID BIOPSY; HETEROGENEITY; IDENTIFICATION; PROGRESSION; DISCOVERY; BIOMARKER</t>
  </si>
  <si>
    <t>Urothelial bladder carcinoma (UBC) is characterized by a large number of genetic alterations. DNA from urine is a promising source for liquid biopsy in urological malignancies. We aimed to assess the availability of cell-free DNA (cfDNA) and exosomal DNA (exoDNA) in urine as a source for liquid biopsy in UBC. We included 9 patients who underwent surgery for UBC and performed genomic profiling of tumor samples and matched urinary cfDNA and exoDNA. For mutation analysis, deep sequencing was performed for 9 gene targets and shallow whole genome sequencing (sWGS) was used for the detection of copy number variation (CNV). We analyzed whether genetic alteration in tumor samples was reflected in urinary cfDNA or exoDNA. To measure the similarity between copy number profiles of tumor tissue and urinary DNA, the Pearson's correlation coefficient was calculated. We found 17 somatic mutations in 6 patients. Of the 17 somatic mutations, 14 and 12 were identified by analysis of cfDNA and exoDNA with AFs of 56.2% and 65.6%, respectively. In CNV analysis using sWGS, although the mean depth was 0.6X, we found amplification of MDM2, ERBB2, CCND1 and CCNE1, and deletion of CDKN2A, PTEN and RB1, all known to be frequently altered in UBC. CNV plots of cfDNA and exoDNA showed a similar pattern with those from the tumor samples. Pearson's correlation coefficients of tumor vs. cfDNA (0.481) and tumor vs. exoDNA (0.412) were higher than that of tumor vs. normal (0.086). We successfully identified somatic mutations and CNV in UBC using urinary cfDNA and exoDNA. Urinary exoDNA could be another source for liquid biopsy. Also, CNV analysis using sWGS is an alternative strategy for liquid biopsy, providing data from the whole genome at a low cost.</t>
  </si>
  <si>
    <t>[Lee, Dong Hyeon; Yoon, Hana; Kim, Kwang Hyun] Ewha Womans Univ, Dept Urol, Coll Med, Seoul, South Korea; [Park, Sanghui] Ewha Womans Univ, Dept Pathol, Coll Med, Seoul, South Korea; [Kim, Jeong Seon; Ahn, Young-Ho] Ewha Womans Univ, Dept Mol Med, Coll Med, Seoul, South Korea; [Kwon, Kihwan] Ewha Womans Univ, Dept Cardiol, Coll Med, Seoul, South Korea; [Lee, Donghwan] Ewha Womans Univ, Dept Stat, Seoul, South Korea</t>
  </si>
  <si>
    <t>Kim, KH (corresponding author), Ewha Womans Univ, Dept Urol, Coll Med, Seoul, South Korea.</t>
  </si>
  <si>
    <t>khkim.uro@gmail.com</t>
  </si>
  <si>
    <t>KIM, JEONGSEON/AAA-4643-2022</t>
  </si>
  <si>
    <t>Kim, Kwang Hyun/0000-0002-6264-5109</t>
  </si>
  <si>
    <t>10.1038/s41598-018-32900-6</t>
  </si>
  <si>
    <t>WOS:000446037100002</t>
  </si>
  <si>
    <t>Yang, YJ; Cai, Y; Wu, GZ; Chen, XJ; Liu, YK; Wang, XQ; Yu, JY; Li, CW; Chen, XW; Jose, PA; Zhou, L; Zeng, CY</t>
  </si>
  <si>
    <t>Yang, Yujia; Cai, Yue; Wu, Gengze; Chen, Xinjian; Liu, Yukai; Wang, Xinquan; Yu, Junyi; Li, Chuanwei; Chen, Xiongwen; Jose, Pedro A.; Zhou, Lin; Zeng, Chunyu</t>
  </si>
  <si>
    <t>Plasma long non-coding RNA, CoroMarker, a novel biomarker for diagnosis of coronary artery disease</t>
  </si>
  <si>
    <t>cardiac biomarkers; circulating lncRNA; coronary artery disease; diagnosis; long non-coding RNA</t>
  </si>
  <si>
    <t>HEART; IDENTIFICATION; EXPRESSION; ASSOCIATION; MECHANISMS; PROTEINS; REVEALS; CANCER; RISK; DNA</t>
  </si>
  <si>
    <t>Long non-coding RNAs (lncRNAs) have been reported to be involved in the pathogenesis of cardiovascular disease (CVD), but whether circulating lncRNAs can serve as a coronary artery disease (CAD), biomarker is not known. The present study screened lncRNAs by microarray analysis in the plasma from CAD patients and control individuals and found that 265 lncRNAs were differentially expressed. To find specific lncRNAs as possible CAD biomarker candidates, we used the following criteria for 174 up-regulated lncRNAs: signal intensity &gt;= 8, fold change &gt;2.5 and P &lt; 0.005. According to these criteria, five intergenic lncRNAs were identified. After validation by quantitative PCR (qPCR), one lncRNA was excluded from the candidate list. The remaining four lncRNAs were independently validated in another population of 20 CAD patients and 20 control individuals. Receiver operating characteristic (ROC) curve analysis showed that lncRNA AC100865.1 (referred to as CoroMarker) was the best of these lncRNAs. CoroMarker levels were also stable in plasma. The predictive value of CoroMarker was further assessed in a larger cohort with 221 CAD patients and 187 control individuals. Using a diagnostic model with Fisher's criteria, taking the risk factors into account, the optimal sensitivity of CoroMarker for CAD increased from 68.29% to 78.05%, whereas the specificity decreased slightly from 91.89% to 86.49%. CoroMarker was stable in plasma because it was mainly in the extracellular vesicles (EVs), probably from monocytes. We conclude that CoroMarker is a stable, sensitive and specific biomarker for CAD.</t>
  </si>
  <si>
    <t>[Yang, Yujia; Cai, Yue; Wu, Gengze; Chen, Xinjian; Liu, Yukai; Wang, Xinquan; Yu, Junyi; Li, Chuanwei; Chen, Xiongwen; Zhou, Lin; Zeng, Chunyu] Third Mil Med Univ, Daping Hosp, Dept Cardiol, Chongqing, Peoples R China; [Yang, Yujia; Cai, Yue; Wu, Gengze; Chen, Xinjian; Liu, Yukai; Wang, Xinquan; Yu, Junyi; Li, Chuanwei; Zhou, Lin; Zeng, Chunyu] Chongqing Inst Cardiol, Chongqing, Peoples R China; [Jose, Pedro A.] Univ Maryland, Sch Med, Dept Med, Div Nephrol, Baltimore, MD 21201 USA; [Chen, Xiongwen] Temple Univ, Sch Med, Dept Physiol, Philadelphia, PA 19122 USA; [Chen, Xiongwen] Temple Univ, Sch Med, Cardiovasc Res Ctr, Philadelphia, PA 19122 USA; [Jose, Pedro A.] Univ Maryland, Sch Med, Dept Physiol, Baltimore, MD 21201 USA</t>
  </si>
  <si>
    <t>Army Medical University; Chinese Academy of Sciences; University System of Maryland; University of Maryland Baltimore; Pennsylvania Commonwealth System of Higher Education (PCSHE); Temple University; Pennsylvania Commonwealth System of Higher Education (PCSHE); Temple University; University System of Maryland; University of Maryland Baltimore</t>
  </si>
  <si>
    <t>Zeng, CY (corresponding author), Third Mil Med Univ, Daping Hosp, Dept Cardiol, Chongqing, Peoples R China.</t>
  </si>
  <si>
    <t>linzhou007@126.com; chunyuzeng167@163.com</t>
  </si>
  <si>
    <t>Chen, Xiongwen/D-5988-2012</t>
  </si>
  <si>
    <t>Chen, Xiongwen/0000-0002-3829-5815</t>
  </si>
  <si>
    <t>10.1042/CS20150121</t>
  </si>
  <si>
    <t>WOS:000361047000001</t>
  </si>
  <si>
    <t>Reich, CF; Pisetsky, DS</t>
  </si>
  <si>
    <t>Reich, Charles F., III; Pisetsky, David S.</t>
  </si>
  <si>
    <t>The content of DNA and RNA in microparticles released by Jurkat and HL-60 cells undergoing in vitro apoptosis</t>
  </si>
  <si>
    <t>EXPERIMENTAL CELL RESEARCH</t>
  </si>
  <si>
    <t>Microparticles; Apoptosis; Necrosis; DNA; RNA</t>
  </si>
  <si>
    <t>28S RIBOSOMAL-RNA; MESSENGER-RNA; CANCER-PATIENTS; MALIGNANT-MELANOMA; IMMUNE-COMPLEXES; PLASMA; CLEAVAGE; MICROVESICLES; DEGRADATION; BODIES</t>
  </si>
  <si>
    <t>Microparticles are small membrane-bound vesicles that are released from apoptotic cells during blebbing. These particles contain DNA and RNA and display important functional activities, including immune system activation. Furthermore, nucleic acids inside the particle can be analyzed as biomarkers in a variety of disease states. To elucidate the nature of microparticle nucleic acids, DNA and RNA released in microparticles from the Jurkat T and HL-60 promyelocytic cell lilies undergoing apoptosis in vitro were studied. Microparticles were isolated from Culture media by differential centrifugation and characterized by now cytometry and molecular approaches. In these particles, DNA showed laddering by gel electrophoresis and was present in a form that allowed direct binding by a monoclonal anti-DNA antibody, Suggesting antigen accessibility even without fixation. Analysis of RNA by gel electrophoresis showed intact 18s and 28s ribosomal RNA bands, although lower molecular bands consistent with 28s ribosomal RNA degradation products were also present. Particles also contained messenger RNA as shown by RT-PCR amplification of sequences for beta-actin and GAPDH. In addition, gel electrophoresis showed the presence of low molecular weight RNA in the size range of microRNA. Together, these results indicate that microparticles from apoptotic Jurkat and HL-60 cells contain diverse nucleic acid species, indicating translocation of both nuclear and cytoplasmic DNA and RNA as particle release Occurs during death. (C) 2008 Elsevier Inc. All rights reserved.</t>
  </si>
  <si>
    <t>[Pisetsky, David S.] Med Res Serv, Durham, NC 27705 USA; Duke Univ, Med Ctr, Div Rheumatol &amp; Immunol, Durham, NC 27705 USA</t>
  </si>
  <si>
    <t>Duke University</t>
  </si>
  <si>
    <t>Pisetsky, DS (corresponding author), Med Res Serv, 151G Durham VAMC,508 Fulton St, Durham, NC 27705 USA.</t>
  </si>
  <si>
    <t>piset001@mc.duke.edu</t>
  </si>
  <si>
    <t>0014-4827</t>
  </si>
  <si>
    <t>1090-2422</t>
  </si>
  <si>
    <t>MAR 10</t>
  </si>
  <si>
    <t>10.1016/j.yexcr.2008.12.014</t>
  </si>
  <si>
    <t>WOS:000263859200004</t>
  </si>
  <si>
    <t>Shapiro, AB; Ling, V</t>
  </si>
  <si>
    <t>Transport of LDS-751 from the cytoplasmic leaflet of the plasma membrane by the rhodamine-123-selective site of P-glycoprotein</t>
  </si>
  <si>
    <t>EUROPEAN JOURNAL OF BIOCHEMISTRY</t>
  </si>
  <si>
    <t>P-glycoprotein; multidrug resistance; rhodamine 123; Hoechst 33342; LDS-751</t>
  </si>
  <si>
    <t>MULTIDRUG-RESISTANCE; ENERGY-TRANSFER; DRUG EXTRUSION; GENE</t>
  </si>
  <si>
    <t>P-glycoprotein is an ATP-dependent transporter of an extremely wide variety of lipophilic compounds. We showed previously [Shapiro, A. B. &amp; Ling, V. (1997a) Eur: J. Biochem. 250, 130-137] that P-glycoprotein contains two drug transporting sites, dubbed H (for Hoechst 33342-selective) and R (for rhodamine-123-selective), that interact with positive cooperativity. The H site transports 2-[2-(4-ethoxyphenyl)-6-benzimidazolyl]-6-(1-methyl-4-piperazyl)benzimidazole (Hoechst 33342) from the cytoplasmic leaflet of the plasma membrane to the aqueous extracellular medium [Shapiro, A. B. gr Ling, V. (1997b) Eur J. Biochem. 250, 122-129]. The environment from which the R site transports its substrates is unknown. In this paper, we used the fluorescent DNA dye 2-{4-[4-(dimethylamino)phenyl]-1,3-butadienyl}-3-ethylbenzothiazolium perchlorate (LDS-751), a substrate of the R site, to address this issue. LDS-751 which, like Hoechst 33342, exhibits Lipid-dependent fluorescence and slow transleaflet diffusion, allowed us to use the same methodology that we used for the H site to study the location of the R site. As with Hoechst 33342, the specific initial rate of LDS-751 transport by P-glycoprotein-rich, isolated plasma membrane vesicles from CH(R)B30 cells was directly proportional to the amount of membrane-bound LDS-751 and inversely proportional to the concentration of free, aqueous LDS-751. This result demonstrates that the R site of P-glycoprotein transports LDS-751 out of the lipid membrane. The slight decrease, instead of an increase, in the initial rate of active transport of LDS-751 with the amount of time elapsed for slow diffusion of LDS-751 from the cytoplasmic leaflet to the extracellular leaflet indicates that the R site of P-glycoprotein removes LDS-751 from the cytoplasmic leaflet of the plasma membrane. Thus, both known drug-transporting sites of P-glycoprotein remove their substrates from the cytoplasmic leaflet. Since all of the P-glycoprotein substrates we have examined so far are recognized by one or both of the two known drug-transporting sites, these two sites in the cytoplasmic leaflet of the plasma membrane may be able to account for all substrate transport by P-glycoprotein.</t>
  </si>
  <si>
    <t>British Columbia Canc Res Ctr, Vancouver, BC V5Z 1L3, Canada</t>
  </si>
  <si>
    <t>British Columbia Cancer Agency</t>
  </si>
  <si>
    <t>Ling, V (corresponding author), British Columbia Canc Res Ctr, 601 W 10th Ave, Vancouver, BC V5Z 1L3, Canada.</t>
  </si>
  <si>
    <t>Shapiro, Adam/0000-0002-2662-6146</t>
  </si>
  <si>
    <t>0014-2956</t>
  </si>
  <si>
    <t>10.1046/j.1432-1327.1998.2540181.x</t>
  </si>
  <si>
    <t>WOS:000073841100027</t>
  </si>
  <si>
    <t>Garnier, Y; Claude, L; Hermand, P; Sachou, E; Claes, A; Desplan, K; Chahim, B; Roger, PM; Martino, F; Colin, Y; Le Van Kim, C; Baccini, V; Romana, M</t>
  </si>
  <si>
    <t>Garnier, Yohann; Claude, Livia; Hermand, Patricia; Sachou, Evely; Claes, Aurelie; Desplan, Kassandra; Chahim, Bassel; Roger, Pierre-Marie; Martino, Frederic; Colin, Yves; Le Van Kim, Caroline; Baccini, Veronique; Romana, Marc</t>
  </si>
  <si>
    <t>Plasma microparticles of intubated COVID-19 patients cause endothelial cell death, neutrophil adhesion and netosis, in a phosphatidylserine-dependent manner</t>
  </si>
  <si>
    <t>BRITISH JOURNAL OF HAEMATOLOGY</t>
  </si>
  <si>
    <t>COVID-19; microparticles; inflammation; vascular damage</t>
  </si>
  <si>
    <t>TISSUE FACTOR; ANNEXIN-V; APOPTOSIS; RECRUITMENT; VESICLES; PREDICT; MICE</t>
  </si>
  <si>
    <t>COVID-19 has compelled scientists to better describe its pathophysiology to find new therapeutic approaches. While risk factors, such as older age, obesity, and diabetes mellitus, suggest a central role of endothelial cells (ECs), autopsies have revealed clots in the pulmonary microvasculature that are rich in neutrophils and DNA traps produced by these cells, called neutrophil extracellular traps (NETs.) Submicron extracellular vesicles, called microparticles (MPs), are described in several diseases as being involved in pro-inflammatory pathways. Therefore, in this study, we analyzed three patient groups: one for which intubation was not necessary, an intubated group, and one group after extubation. In the most severe group, the intubated group, platelet-derived MPs and endothelial cell (EC)-derived MPs exhibited increased concentration and size, when compared to uninfected controls. MPs of intubated COVID-19 patients triggered EC death and overexpression of two adhesion molecules: P-selectin and vascular cell adhesion molecule-1 (VCAM-1). Strikingly, neutrophil adhesion and NET production were increased following incubation with these ECs. Importantly, we also found that preincubation of these COVID-19 MPs with the phosphatidylserine capping endogenous protein, annexin A5, abolished cytotoxicity, P-selectin and VCAM-1 induction, all like increases in neutrophil adhesion and NET release. Taken together, our results reveal that MPs play a key role in COVID-19 pathophysiology and point to a potential therapeutic: annexin A5.</t>
  </si>
  <si>
    <t>[Garnier, Yohann; Claude, Livia; Hermand, Patricia; Sachou, Evely; Desplan, Kassandra; Colin, Yves; Le Van Kim, Caroline; Baccini, Veronique; Romana, Marc] Univ Paris, UMR S1134, BIGR, INSERM, Paris, France; [Garnier, Yohann; Claude, Livia; Sachou, Evely; Desplan, Kassandra; Baccini, Veronique; Romana, Marc] Univ Antilles, UMR S1134, BIGR, Pointe A Pitre, Guadeloupe, France; [Garnier, Yohann; Claude, Livia; Hermand, Patricia; Sachou, Evely; Desplan, Kassandra; Colin, Yves; Le Van Kim, Caroline; Baccini, Veronique; Romana, Marc] Lab Excellence GREx, Paris, France; [Garnier, Yohann; Claude, Livia; Sachou, Evely; Desplan, Kassandra; Baccini, Veronique; Romana, Marc] CHU Pointe a Pitre, Pointe A Pitre, Guadeloupe, France; [Hermand, Patricia; Colin, Yves; Le Van Kim, Caroline] Inst Natl Transfus Sanguine, Paris, France; [Claes, Aurelie] Inst Pasteur, Paris, France; [Claes, Aurelie] CNRS ERL9195, Paris, France; [Claes, Aurelie] INSERM U1201, Paris, France; [Chahim, Bassel] CHU Pointe a Pitre Abymes, Serv Posturgences, Pointe A Pitre, Guadeloupe, France; [Roger, Pierre-Marie] CHU Pointe Pitre Abymes, Serv Infectiol, Pointe A Pitre, Guadeloupe, France; [Martino, Frederic] CHU Pointe Pitre Abymes, Serv Reanimat, Pointe A Pitre, Guadeloupe, France</t>
  </si>
  <si>
    <t>Institut National de la Sante et de la Recherche Medicale (Inserm); UDICE-French Research Universities; Universite de Paris; UDICE-French Research Universities; Universite de Paris; Universite des Antilles; CHU Guadeloupe; Le Reseau International des Instituts Pasteur (RIIP); Institut Pasteur Paris; Centre National de la Recherche Scientifique (CNRS); CNRS - National Institute for Biology (INSB); Institut National de la Sante et de la Recherche Medicale (Inserm); CHU Guadeloupe; CHU Guadeloupe; CHU Guadeloupe</t>
  </si>
  <si>
    <t>Garnier, Y (corresponding author), CHU Guadeloupe, UMR 1134, Inserm UA, F-97110 Pointe A Pitre, Guadeloupe, France.</t>
  </si>
  <si>
    <t>yohann.garnier@inserm.fr</t>
  </si>
  <si>
    <t>Romana, marc/0000-0002-8715-9836; GARNIER, Yohann/0000-0002-2720-5829; HERMAND, Patricia/0000-0003-0628-9733</t>
  </si>
  <si>
    <t>0007-1048</t>
  </si>
  <si>
    <t>1365-2141</t>
  </si>
  <si>
    <t>10.1111/bjh.18019</t>
  </si>
  <si>
    <t>WOS:000739674300001</t>
  </si>
  <si>
    <t>Ahmed, M; Carrascosa, LG; Wuethrich, A; Mainwaring, P; Trau, M</t>
  </si>
  <si>
    <t>Ahmed, Mostak; Carrascosa, Laura G.; Wuethrich, Alain; Mainwaring, Paul; Trau, Matt</t>
  </si>
  <si>
    <t>An exosomal- and interfacial-biosensing based strategy for remote monitoring of aberrantly phosphorylated proteins in lung cancer cells</t>
  </si>
  <si>
    <t>BIOMATERIALS SCIENCE</t>
  </si>
  <si>
    <t>GOLD AFFINITY INTERACTIONS; ELECTROCHEMICAL DETECTION; MASS-SPECTROMETRY; KINASE ACTIVITY; AMPLIFICATION; ANTIBODIES; BIOPSY; DNA; PHOSPHOPROTEIN; IMMUNOASSAYS</t>
  </si>
  <si>
    <t>It is a well-known phenomenon that cancer cells release key biological information such as DNA, RNA or proteins into body fluids (e.g., blood, urine or saliva). The analysis of these moleculesoften encapsulated within nanovesicules called exosomesis highly attractive, because it could replace current surgical biopsies, which are painful, costly and potentially risky for patients. For example, current strategies in lung cancer diagnosis involve genetic analyses from tumour tissues to detect the presence of underlying DNA mutations, known to alter the phosphorylation status and function of proteins. This information is used to direct therapy, as aberrantly phosphorylated proteins are the main targets of current drugs such as Tyrosine Kinase Inhibitors (TKIs). An alternative and less invasive strategy would be the remote analysis of these phospho-proteins by isolating them from cancer-derived exosomes. This would allow evaluating not only their phosphorylation status at diagnosis, but also the timely restoration of protein phosphorylation levels during therapy with TKIs. Yet, this proteomic approach remains vastly unexplored. Herein, we demonstrate that key lung cancer phosphoproteins, such as EGFR and ERK, are expressed in lung cancer exosomes and we outline a new exosomal proteomic-based approach for their fast and convenient detection. This approach, which could complement current genetic analysis for lung cancer detection, easily detects the phosphorylation status of lung cancer exosomal proteins within minutes after their extraction, bringing hope of circumventing the need for tissue biopsy and costly and cumbersome DNA sequencing techniques. It exploits the fact that phosphorylation induces protein conformational changes, which in turn alter protein's ability to effectively interact with bare gold surfaces. This leads to phosphorylated and non-phosphorylated protein isoforms displaying different gold-adsorption profiles. Using single-use and inexpensive, gold (Au) screen-printed electrodes (SPEs), we demonstrate the successful detection of aberrantly phosphorylated EGFR and ERK protein isoforms derived from lung cancer cell exosomes with a sensitivity down to 15 ng L-1 in samples with up to 90% excess of their non-phosphorylated (wild-type) forms. We further show the applicability of this strategy for monitoring the action of Tyrosine Kinase Inhibitors over time. We believe that this non-invasive technique will open up new avenues for facilitating cancer diagnosis and time-point monitoring of therapeutic responses.</t>
  </si>
  <si>
    <t>[Ahmed, Mostak; Carrascosa, Laura G.; Wuethrich, Alain; Mainwaring, Paul; Trau, Matt] Univ Queensland, Ctr Personalized Nanomed, AIBN, Corner Coll, Brisbane, Qld 4072, Australia; [Ahmed, Mostak; Carrascosa, Laura G.; Wuethrich, Alain; Mainwaring, Paul; Trau, Matt] Univ Queensland, Cooper Rd,Bldg 75, Brisbane, Qld 4072, Australia; [Trau, Matt] Univ Queensland, Sch Chem &amp; Mol Biosci, Brisbane, Qld 4072, Australia</t>
  </si>
  <si>
    <t>University of Queensland; University of Queensland; University of Queensland</t>
  </si>
  <si>
    <t>Carrascosa, LG; Trau, M (corresponding author), Univ Queensland, Ctr Personalized Nanomed, AIBN, Corner Coll, Brisbane, Qld 4072, Australia.;Carrascosa, LG; Trau, M (corresponding author), Univ Queensland, Cooper Rd,Bldg 75, Brisbane, Qld 4072, Australia.;Trau, M (corresponding author), Univ Queensland, Sch Chem &amp; Mol Biosci, Brisbane, Qld 4072, Australia.</t>
  </si>
  <si>
    <t>Ahmed, Mostak/0000-0003-3500-2367; Trau, Matt/0000-0001-5516-1280</t>
  </si>
  <si>
    <t>2047-4830</t>
  </si>
  <si>
    <t>2047-4849</t>
  </si>
  <si>
    <t>10.1039/c8bm00629f</t>
  </si>
  <si>
    <t>Materials Science, Biomaterials</t>
  </si>
  <si>
    <t>Materials Science</t>
  </si>
  <si>
    <t>WOS:000443267300007</t>
  </si>
  <si>
    <t>Lee, J; Kwon, MH; Kim, JA; Rhee, WJ</t>
  </si>
  <si>
    <t>Lee, Jinhee; Kwon, Min Hee; Kim, Jeong Ah; Rhee, Won Jong</t>
  </si>
  <si>
    <t>Detection of exosome miRNAs using molecular beacons for diagnosing prostate cancer</t>
  </si>
  <si>
    <t>ARTIFICIAL CELLS NANOMEDICINE AND BIOTECHNOLOGY</t>
  </si>
  <si>
    <t>Exosome; prostate cancer; liquid biopsy; miRNA; molecular beacon</t>
  </si>
  <si>
    <t>EXTRACELLULAR VESICLES; MICRORNAS; BIOMARKERS; PROTEIN; FLUORESCENCE; ANTIGEN; DNA</t>
  </si>
  <si>
    <t>Prostate cancer is the fifth leading cause of cancer-related deaths among males worldwide. However, the biomarker for diagnosing prostate cancer that is used currently has limitations that must be overcome. Recently, several studies have demonstrated that the cancer liquid biopsy can be implemented by using exosome miRNAs. However, the current methods for the detection of exosome miRNAs are time-consuming, expensive, and laborious. Thus, we investigated a novel method for diagnosing prostate cancer that involves the use of molecular beacons for the in situ detection of miRNAs in exosomes from prostate cancer cells. We chose miRNA-375 and miRNA-574-3p as the target miRNAs for prostate cancer, and these markers in exosomes produced by prostate cancer cells including DU145 and PC-3 were successfully detected using molecular beacons. High fluorescent signals were obtained from MB and miRNA hybridization in exosomes in a concentration-dependent manner. In addition, exosome miRNAs can be detected even in the presence of human urine, so this method can be applied directly using human urine to perform liquid biopsies for prostate cancer. Overall, the in situ detection of exosome miRNAs using molecular beacons can be developed as a simple, cost effective, and non-invasive liquid biopsy for diagnosing prostate cancer.</t>
  </si>
  <si>
    <t>[Lee, Jinhee; Kwon, Min Hee; Rhee, Won Jong] Incheon Natl Univ, Div Bioengn, Incheon 406772, South Korea; [Kim, Jeong Ah] Kore Basic Sci Inst, Biomed Omics Grp, Cheongju, South Korea</t>
  </si>
  <si>
    <t>Incheon National University</t>
  </si>
  <si>
    <t>Rhee, WJ (corresponding author), Incheon Natl Univ, Div Bioengn, Incheon 406772, South Korea.</t>
  </si>
  <si>
    <t>wjrhee@inu.ac.kr</t>
  </si>
  <si>
    <t>Rhee, Won Jong/0000-0001-7068-2762; Kim, Jeong Ah/0000-0001-6278-6545</t>
  </si>
  <si>
    <t>2169-1401</t>
  </si>
  <si>
    <t>2169-141X</t>
  </si>
  <si>
    <t>S52</t>
  </si>
  <si>
    <t>S63</t>
  </si>
  <si>
    <t>10.1080/21691401.2018.1489263</t>
  </si>
  <si>
    <t>Biotechnology &amp; Applied Microbiology; Engineering, Biomedical; Materials Science, Biomaterials</t>
  </si>
  <si>
    <t>Biotechnology &amp; Applied Microbiology; Engineering; Materials Science</t>
  </si>
  <si>
    <t>WOS:000460141900005</t>
  </si>
  <si>
    <t>Hisada, Y; Mackman, N</t>
  </si>
  <si>
    <t>Hisada, Yohei; Mackman, Nigel</t>
  </si>
  <si>
    <t>Update from the laboratory: mechanistic studies of pathways of cancer-associated venous thrombosis using mouse models</t>
  </si>
  <si>
    <t>HEMATOLOGY-AMERICAN SOCIETY OF HEMATOLOGY EDUCATION PROGRAM</t>
  </si>
  <si>
    <t>62nd Annual Meeting and Exposition of the American-Society-of-Hematology (ASH)</t>
  </si>
  <si>
    <t>DEC 07-10, 2019</t>
  </si>
  <si>
    <t>Orlando, FL</t>
  </si>
  <si>
    <t>DEEP-VEIN THROMBOSIS; TISSUE FACTOR; EXTRACELLULAR VESICLES; FILAMIN-A; THROMBOEMBOLISM; MICROVESICLES; CHEMOTHERAPY; COAGULATION; PREDICTION; GUIDELINES</t>
  </si>
  <si>
    <t>Cancer patients have an increased risk of venous thromboembolism (VTE). The rate of VTE varies with cancer type, with pancreatic cancer having one of the highest rates, suggesting that there are cancer type-specific mechanisms of VTE. Risk assessment scores, such as the Khorana score, have been developed to identify ambulatory cancer patients at high risk of VTE. However, the Khorana score performed poorly in discriminating pancreatic cancer patients at risk of VTE. Currently, thromboprophylaxis is not recommended for cancer outpatients. Recent clinical trials showed that factor Xa (FXa) inhibitors reduced VTE in high-risk cancer patients but also increased major bleeding. Understanding the mechanisms of cancer-associated thrombosis should lead to the development of safer antithrombotic drugs. Mouse models can be used to study the role of different prothrombotic pathways in cancer-associated thrombosis. Human and mouse studies support the notion that 2 prothrombotic pathways contribute to VTE in pancreatic cancer patients: tumor-derived, tissue factor-positive (TF+) extracellular vesicles (EVs), and neutrophils and neutrophil extracellular traps (NETs). In pancreatic cancer patients, elevated levels of plasma EVTF activity and citrullinated histone H3 (H3Cit), a NET biomarker, are independently associated with VTE. We observed increased levels of circulating tumor-derived TF+ EVs, neutrophils, cell-free DNA, and H3Cit in nude mice bearing human pancreatic tumors. Importantly, inhibition of tumorderived human TF, depletion of neutrophils, or administration of DNAse I to degrade cell-free DNA (including NETs) reduced venous thrombosis in tumor-bearing mice. These studies demonstrate that tumor-derived TF+ EVs, neutrophils, and cell-free DNA contribute to venous thrombosis in a mouse model of pancreatic cancer.</t>
  </si>
  <si>
    <t>[Hisada, Yohei; Mackman, Nigel] Univ N Carolina, Dept Med, Div Hematol Oncol, Chapel Hill, NC 27515 USA</t>
  </si>
  <si>
    <t>University of North Carolina; University of North Carolina Chapel Hill</t>
  </si>
  <si>
    <t>Mackman, N (corresponding author), Univ N Carolina, Dept Med, 98 Manning Dr,8004B Mary Ellen Jones Bldg,CB 7126, Chapel Hill, NC 27599 USA.</t>
  </si>
  <si>
    <t>nmackman@med.unc.edu</t>
  </si>
  <si>
    <t>HISADA, YOHEI/I-1237-2019</t>
  </si>
  <si>
    <t>HISADA, YOHEI/0000-0001-9157-0524</t>
  </si>
  <si>
    <t>1520-4391</t>
  </si>
  <si>
    <t>1520-4383</t>
  </si>
  <si>
    <t>Education, Scientific Disciplines; Hematology</t>
  </si>
  <si>
    <t>Education &amp; Educational Research; Hematology</t>
  </si>
  <si>
    <t>WOS:000538564000026</t>
  </si>
  <si>
    <t>Vyas, GN; Stoddart, CA; Killian, MS; Brennan, TV; Goldberg, T; Ziman, A; Bryson, Y</t>
  </si>
  <si>
    <t>Vyas, Girish N.; Stoddart, Cheryl A.; Killian, M. Scott; Brennan, Todd V.; Goldberg, Tiffany; Ziman, Alyssa; Bryson, Yvonne</t>
  </si>
  <si>
    <t>Derivation of non-infectious envelope proteins from virions isolated from plasma negative for HIV antibodies</t>
  </si>
  <si>
    <t>BIOLOGICALS</t>
  </si>
  <si>
    <t>HIV inactivation; mHIVenv proteins; SCID-hu Thy/Liv mouse model; mHIVenv subunit vaccine; mHIVenv immune globulins</t>
  </si>
  <si>
    <t>HUMAN-IMMUNODEFICIENCY-VIRUS; HUMAN MONOCLONAL-ANTIBODIES; AUSTRALIA ANTIGEN; DENDRITIC CELLS; DC-SIGN; INFECTION; TYPE-1; IDENTIFICATION; NEUTRALIZATION; LYMPHOCYTES</t>
  </si>
  <si>
    <t>Natural membrane-bound HIV-1 envelope proteins (mHIVenv) could be used to produce an effective subunit vaccine against HIV infection, akin to effective vaccination against HBV infection using the hepatitis B surface antigen. The quaternary structure of mHIVenv is postulated to elicit broadly neutralizing antibodies protective against HIV-1 transmission. The founder virus transmitted to infected individuals during acute HIV-1 infection is genetically homogeneous and restricted to CCR5-tropic phenotype. Therefore, isolates of plasma-derived HIV-1 (PHIV) from infected blood donors while negative for antibodies to HIV proteins were selected for expansion in primary lymphocytes as an optimized cell substrate (OCS). Virions in the culture supernatants were purified by removing contaminating microvesicles using immunomagnetic beads coated with anti-CD45. Membrane cholesterol was extracted from purified virions with beta-cyclodextrin to permeabilize them and expel p24, RT and viral RNA, and permit protease-free Benzonase to hydrolyze the residual viral/host DNA/RNA without loss of gp120. The resultant mHIVenv, containing gp120 bound to native gp41 in immunoreactive form, was free from infectivity in vitro in co-cultures with OCS and in vivo after inoculating SCID-hu Thy/Liv mice. These data should help development of mHIVenv as a virally safe immunogen and enable preparation of polyclonal hyper-immune globulins for immunoprophylaxis against HIV-1 infection. (C) 2011 Published by Elsevier Ltd on behalf of The International Alliance for Biological Standardization.</t>
  </si>
  <si>
    <t>[Vyas, Girish N.; Goldberg, Tiffany] Univ Calif San Francisco, Sch Med, Dept Lab Med, San Francisco, CA 94143 USA; [Stoddart, Cheryl A.; Killian, M. Scott] Univ Calif San Francisco, Sch Med, Dept Med, San Francisco, CA 94143 USA; [Brennan, Todd V.] Univ Calif San Francisco, Sch Med, Dept Surg, San Francisco, CA 94143 USA; [Vyas, Girish N.; Ziman, Alyssa] Univ Calif Los Angeles, David Geffen Sch Med, Dept Pathol, Los Angeles, CA 90095 USA; [Vyas, Girish N.; Bryson, Yvonne] Univ Calif Los Angeles, David Geffen Sch Med, Dept Pediat, Los Angeles, CA 90095 USA</t>
  </si>
  <si>
    <t>University of California System; University of California San Francisco; University of California System; University of California San Francisco; University of California System; University of California San Francisco; University of California System; University of California Los Angeles; University of California Los Angeles Medical Center; David Geffen School of Medicine at UCLA; University of California System; University of California Los Angeles; University of California Los Angeles Medical Center; David Geffen School of Medicine at UCLA</t>
  </si>
  <si>
    <t>Vyas, GN (corresponding author), Univ Calif San Francisco, Sch Med, Dept Lab Med, UCSF Box 0134,185 Berry St,Suite 2010-07, San Francisco, CA 94143 USA.</t>
  </si>
  <si>
    <t>girish.vyas@ucsf.edu</t>
  </si>
  <si>
    <t>Ziman, Alyssa/N-9598-2019</t>
  </si>
  <si>
    <t>Vyas, Girish/0000-0003-1090-4911; Killian, Scott/0000-0002-2012-3732</t>
  </si>
  <si>
    <t>1045-1056</t>
  </si>
  <si>
    <t>10.1016/j.biologicals.2011.11.005</t>
  </si>
  <si>
    <t>Biochemical Research Methods; Biotechnology &amp; Applied Microbiology; Pharmacology &amp; Pharmacy</t>
  </si>
  <si>
    <t>Biochemistry &amp; Molecular Biology; Biotechnology &amp; Applied Microbiology; Pharmacology &amp; Pharmacy</t>
  </si>
  <si>
    <t>WOS:000300806700003</t>
  </si>
  <si>
    <t>Kang, KKM; Muralidharan, K; Yekula, A; Small, JL; Rosh, ZS; Jones, PS; Carter, BS; Balaj, L</t>
  </si>
  <si>
    <t>Kang, Keiko M.; Muralidharan, Koushik; Yekula, Anudeep; Small, Julia L.; Rosh, Zachary S.; Jones, Pamela S.; Carter, Bob S.; Balaj, Leonora</t>
  </si>
  <si>
    <t>Blood-Based Detection of BRAF V600E in Gliomas and Brain Tumor Metastasis</t>
  </si>
  <si>
    <t>brain tumor; glioma; brain tumor metastasis; melanoma; liquid biopsy; cfDNA (cell free DNA); extracellular vesicles</t>
  </si>
  <si>
    <t>Simple Summary The BRAF V600E mutation has been identified as a key driver in brain tumors and brain tumor metastasis. The ability to detect this mutation in a minimally invasive plasma assay offers advantages over traditional tissue-based biopsy for the disease diagnosis and monitoring. The aim of this study was to develop an assay for the detection of BRAF V600E in the plasma of patients with brain tumors and brain tumor metastasis. We demonstrate BRAF V600E detection using a novel plasma-based ddPCR assay. We detect the mutation in circulating nucleic acids in 4/5 patients with mutant gliomas and metastatic melanoma. We also show correlation between plasma BRAF V600E and clinical status. This proof of principle study is important in the context of application of liquid biopsy in plasma to the neuro-oncologic field. The assay may be useful as a diagnostic adjunct, prognostication tool, and method for monitoring of disease and treatment response. Liquid biopsy provides a minimally invasive platform for the detection of tumor-derived information, including hotspot mutations, such as BRAF V600E. In this study, we provide evidence of the technical development of a ddPCR assay for the detection of BRAF V600E mutations in the plasma of patients with glioma or brain metastasis. In a small patient cohort (n = 9, n = 5 BRAF V600E, n = 4 BRAF WT, n = 4 healthy control), we were able to detect the BRAF V600E mutation in the plasma of 4/5 patients with BRAF V600E-tissue confirmed mutant tumors, and none of the BRAF WT tumors. We also provide evidence in two metastatic patients with longitudinal monitoring, where the plasma-based BRAF V600E mutation correlated with clinical disease status. This proof of principle study demonstrates the potential of this assay to serve as an adjunctive tool for the detection, monitoring, and molecular characterization of BRAF mutant gliomas and brain metastasis.</t>
  </si>
  <si>
    <t>[Kang, Keiko M.; Muralidharan, Koushik; Yekula, Anudeep; Small, Julia L.; Rosh, Zachary S.; Jones, Pamela S.; Carter, Bob S.; Balaj, Leonora] Massachusetts Gen Hosp, Dept Neurosurg, Boston, MA 02115 USA; [Kang, Keiko M.; Muralidharan, Koushik; Yekula, Anudeep; Small, Julia L.; Rosh, Zachary S.; Jones, Pamela S.; Carter, Bob S.; Balaj, Leonora] Harvard Med Sch, Boston, MA 02115 USA; [Kang, Keiko M.] Univ Calif San Diego, Sch Med, San Diego, CA 92092 USA</t>
  </si>
  <si>
    <t>Harvard University; Massachusetts General Hospital; Harvard University; Harvard Medical School; University of California System; University of California San Diego</t>
  </si>
  <si>
    <t>Carter, BS; Balaj, L (corresponding author), Massachusetts Gen Hosp, Dept Neurosurg, Boston, MA 02115 USA.;Carter, BS; Balaj, L (corresponding author), Harvard Med Sch, Boston, MA 02115 USA.</t>
  </si>
  <si>
    <t>keikok11@gmail.com; kmuralidharan@mgh.harvard.edu; AYEKULA@mgh.harvard.edu; julia.small12@gmail.com; Zrosh@mgh.harvard.edu; psjones@partners.org; bcarter@mgh.harvard.edu; Balaj.Leonora@mgh.harvard.edu</t>
  </si>
  <si>
    <t>Yekula, Anudeep/0000-0002-0713-0292; Small, Julia L./0000-0001-7135-6299; Balaj, Leonora/0000-0003-0931-9715</t>
  </si>
  <si>
    <t>10.3390/cancers13061227</t>
  </si>
  <si>
    <t>WOS:000634356500001</t>
  </si>
  <si>
    <t>Hou, M; He, DG; Wang, HZ; Huang, J; Cheng, H; Wan, KJ; Li, HW; Tang, ZF; He, XX; Wang, KM</t>
  </si>
  <si>
    <t>Hou, Min; He, Dinggeng; Wang, Huizhen; Huang, Jin; Cheng, Hong; Wan, Kejin; Li, Hung-Wing; Tang, Zifeng; He, Xiaoxiao; Wang, Kemin</t>
  </si>
  <si>
    <t>Simultaneous and multiplex detection of exosomal microRNAs based on the asymmetric Au@Au@Ag probes with enhanced Raman signal</t>
  </si>
  <si>
    <t>CHINESE CHEMICAL LETTERS</t>
  </si>
  <si>
    <t>SERS; Au@Au@Ag probes; Exosomes; miR-21; miR-126; miR-1246</t>
  </si>
  <si>
    <t>ARRAYS</t>
  </si>
  <si>
    <t>Simultaneous and quantitative detection of multiple exosomal microRNAs (miRNAs) was successfully performed by a surface-enhanced Raman scattering (SERS) assay consisting of Raman probes and capture probes. In this design, the asymmetric core-shell structured Au@Au@Ag nanoparticles were first synthesized by layer-by-layer self-assembly method and modified with different Raman molecules and recognition sequences (polyA-DNA) to prepare the surface-enhanced Raman probes. Then, the streptavidin-modified magnetic beads were used to immobilize the biotinylated DNA capture sequences (biotin-DNA) to obtain capture probes. In the presence of target exosomal miRNAs, the Raman probes and capture probes could bind to the target exosomal miRNAs in the partial hybridization manner. Thus, the developed SERS sensor could indicate the target miRNAs levels in the buffer solution. Using breast cancer-related miRNAs as model targets, the limits of detection of this sensor were determined to be 1.076 fmol/L for synthetic miR-21, 0.068 fmol/L for synthetic miR-126, and 4.57 fmol/L for synthetic miR-1246, respectively. Such SERS sensors were further employed to detect the miR-21 in 20% human serum and the extraction solution of exosomes, respectively. Therefore, simultaneous and multiplex detection of cancer-related exosomal miRNAs by this assay could provide new opportunities for further biomedical applications. (C) 2022 Published by Elsevier B.V. on behalf of Chinese Chemical Society and Institute of Materia Medica, Chinese Academy of Medical Sciences.</t>
  </si>
  <si>
    <t>[Hou, Min; He, Dinggeng; Wang, Huizhen; Huang, Jin; Cheng, Hong; Wan, Kejin; He, Xiaoxiao; Wang, Kemin] Hunan Univ, Coll Biol, Coll Chem &amp; Chem Engn, State Key Lab Chemo Biosensing &amp; Chemometr,Key La, Changsha 410082, Peoples R China; [He, Dinggeng; Li, Hung-Wing] Chinese Univ Hong Kong, Dept Chem, Shatin, Hong Kong, Peoples R China; [Tang, Zifeng] NYU, Coll Art &amp; Sci, New York, NY 10012 USA</t>
  </si>
  <si>
    <t>Hunan University; Chinese University of Hong Kong; New York University</t>
  </si>
  <si>
    <t>He, DG; He, XX; Wang, KM (corresponding author), Hunan Univ, Coll Biol, Coll Chem &amp; Chem Engn, State Key Lab Chemo Biosensing &amp; Chemometr,Key La, Changsha 410082, Peoples R China.</t>
  </si>
  <si>
    <t>hedinggeng@hnu.edu.cn; xiaoxiaohe@hnu.edu.cn; kmwang@hnu.edu.cn</t>
  </si>
  <si>
    <t>Li, Hung Wing/0000-0003-4840-1965</t>
  </si>
  <si>
    <t>1001-8417</t>
  </si>
  <si>
    <t>1878-5964</t>
  </si>
  <si>
    <t>10.1016/j.cclet.2021.11.092</t>
  </si>
  <si>
    <t>WOS:000800344000069</t>
  </si>
  <si>
    <t>Wang, LP; Lv, JM; Guo, CC; Li, HG; Xiong, CL</t>
  </si>
  <si>
    <t>Wang, Liping; Lv, Jinming; Guo, Cuicui; Li, Honggang; Xiong, Chengliang</t>
  </si>
  <si>
    <t>Recovery of cell-free mRNA and microRNA from human semen based on their physical nature</t>
  </si>
  <si>
    <t>BIOTECHNOLOGY AND APPLIED BIOCHEMISTRY</t>
  </si>
  <si>
    <t>filtration; gene expression; human ejaculate; purification; RNA purity; RNA recovery</t>
  </si>
  <si>
    <t>SEMINAL PLASMA MICRORNAS; EXPRESSION; BIOMARKERS; DIAGNOSIS; MEN; DNA</t>
  </si>
  <si>
    <t>Cell-free seminal mRNA (cfs-mRNA) and microRNA (cfs-miRNA) have been found in human ejaculate and reported as promising noninvasive biomarkers for disorders of male reproductive organs and forensic identification. However, seminal plasma is particularly challenging for RNA extraction due to its complicated composition and high content of protein, DNA, and polysaccharide. Here, we report a novel, simple, and reliable method for the isolation of cfs-mRNA and cfs-miRNA from human semen based on our previous findings of their physical nature. Seminal microvesicles (0.1-0.5 mu m in diameter), which contain the majority of cfs-mRNA, were enriched by a microfilter. Protein complexes, which most cfs-miRNA is bound with, were enriched by an ultrafilter. Harvesting the complexes or microvesicles, in which RNAs exist, avoided the influence of other components in human semen, thus favoring RNA isolation and purification. This new method can efficiently isolate cfs-mRNA and cfs-miRNA separately based on their physical nature, with high RNA purity, and low DNA contamination. It may also be applied or modified to isolate cell-free RNAs in other fluids. (C) 2013 International Union of Biochemistry and Molecular Biology, Inc.</t>
  </si>
  <si>
    <t>[Wang, Liping; Guo, Cuicui; Li, Honggang; Xiong, Chengliang] Huazhong Univ Sci &amp; Technol, Tongji Med Coll, Family Planning Res Inst, Ctr Reprod Med, Wuhan 430030, Peoples R China; [Lv, Jinming] Family Planning Serv Ctr Qichun Cty, Huanggang, Hubei, Peoples R China; [Li, Honggang; Xiong, Chengliang] Wuhan Tongji Reprod Med Hosp, Wuhan, Peoples R China</t>
  </si>
  <si>
    <t>Huazhong University of Science &amp; Technology</t>
  </si>
  <si>
    <t>Li, HG (corresponding author), Huazhong Univ Sci &amp; Technol, Tongji Med Coll, Family Planning Res Inst, Hangkong Rd 13, Wuhan 430030, Peoples R China.</t>
  </si>
  <si>
    <t>lhgyx@hotmail.com</t>
  </si>
  <si>
    <t>0885-4513</t>
  </si>
  <si>
    <t>1470-8744</t>
  </si>
  <si>
    <t>10.1002/bab.1172</t>
  </si>
  <si>
    <t>Biochemistry &amp; Molecular Biology; Biotechnology &amp; Applied Microbiology</t>
  </si>
  <si>
    <t>WOS:000338022600012</t>
  </si>
  <si>
    <t>Liu, XX; Chen, XX; Zeng, KX; Xu, M; He, BS; Pan, YQ; Sun, HL; Pan, B; Xu, XN; Xu, T; Hu, XX; Wang, SK</t>
  </si>
  <si>
    <t>Liu, Xiangxiang; Chen, Xiaoxiang; Zeng, Kaixuan; Xu, Mu; He, Bangshun; Pan, Yuqin; Sun, Huiling; Pan, Bei; Xu, Xueni; Xu, Tao; Hu, Xiuxiu; Wang, Shukui</t>
  </si>
  <si>
    <t>DNA-methylation-mediated silencing of miR-486-5p promotes colorectal cancer proliferation and migration through activation of PLAGL2/IGF2/beta-catenin signal pathways</t>
  </si>
  <si>
    <t>GENE-LIKE 2; TUMOR-SUPPRESSOR; PLAGL2; EXPRESSION; CARCINOMA; GROWTH; CELLS; ADENOCARCINOMA; PROGRESSION; LEUKEMIA</t>
  </si>
  <si>
    <t>As one of the most common cancers worldwide, colorectal cancer (CRC) causes a large number of mortality annually. Aberrant expression of microRNAs (miRNAs) is significantly associated with the initiation and development of CRC. Further investigations regarding the regulatory mechanism of miRNAs is warranted. In this study, we discovered that miR-486-5p was remarkably downregulated in CRC, which partially results from higher DNA methylation in the promoter region detected by using methylation-specific PCR, bisulfite sequencing PCR, and DNA demethylation treatment. Besides, decreased miR-486-5p was obviously associated with advanced TNM stage, larger tumor size, lymphatic metastasis, and poor prognosis in CRC. Upregulated miR-486-5p inhibited the proliferation and migration of CRC through targeting PLAGL2 expression and subsequent repressing IGF/beta-catenin signal pathways both in vitro and in vivo. Notably, plasma miR-486-5p expression was significantly upregulated in CRC patients and we identified plasma miR-486-5p as a novel diagnostic biomarker of CRC using receiver operating characteristic (ROC) curve analysis. Moreover, exploration in GEO dataset revealed that circulating miR-486-5p is tumor derived through being packaged into secretory exosomes. Taken together, our data demonstrated that miR-486-5p promotes colorectal cancer proliferation and migration through activation of PLAGL2/IGF2/beta-catenin signal pathway, which is a promising therapeutic target of CRC treatment.</t>
  </si>
  <si>
    <t>[Liu, Xiangxiang; Xu, Mu; He, Bangshun; Pan, Yuqin; Sun, Huiling; Pan, Bei; Xu, Tao; Wang, Shukui] Nanjing Med Univ, Nanjing Hosp 1, Gen Clin Res Ctr, Nanjing 210006, Jiangsu, Peoples R China; [Chen, Xiaoxiang; Zeng, Kaixuan; Xu, Xueni; Hu, Xiuxiu; Wang, Shukui] Southeast Univ, Sch Med, Nanjing 210009, Jiangsu, Peoples R China</t>
  </si>
  <si>
    <t>Nanjing Medical University; Southeast University - China</t>
  </si>
  <si>
    <t>Wang, SK (corresponding author), Nanjing Med Univ, Nanjing Hosp 1, Gen Clin Res Ctr, Nanjing 210006, Jiangsu, Peoples R China.;Wang, SK (corresponding author), Southeast Univ, Sch Med, Nanjing 210009, Jiangsu, Peoples R China.</t>
  </si>
  <si>
    <t>sk_wang@njmu.edu.cn</t>
  </si>
  <si>
    <t>OCT 10</t>
  </si>
  <si>
    <t>10.1038/s41419-018-1105-9</t>
  </si>
  <si>
    <t>WOS:000447236100005</t>
  </si>
  <si>
    <t>Gao, ZB; Yuan, HJ; Mao, YH; Ding, LH; Effah, CY; He, ST; He, LL; Liu, LE; Yu, SC; Wang, YL; Wang, J; Tian, YM; Yu, F; Guo, HC; Miao, LJ; Qu, LB; Wu, YJ</t>
  </si>
  <si>
    <t>Gao, Zibo; Yuan, Huijie; Mao, Yanhua; Ding, Lihua; Effah, Clement Yaw; He, Sitian; He, Leiliang; Liu, Li-E; Yu, Songcheng; Wang, Yilin; Wang, Jia; Tian, Yongmei; Yu, Fei; Guo, Hongchao; Miao, Lijun; Qu, Lingbo; Wu, Yongjun</t>
  </si>
  <si>
    <t>In situ detection of plasma exosomal microRNA for lung cancer diagnosis using duplex-specific nuclease and MoS2 nanosheets</t>
  </si>
  <si>
    <t>MicroRNAs (miRNAs) encapsulated in tumor-derived exosomes are becoming ideal biomarkers for the early diagnosis and prognosis of lung cancer. However, the accuracy and sensitivity are often hampered by the extraction process of exosomal miRNA using traditional methods. Herein, this study developed a fluorogenic quantitative detection method for exosomal miRNA using the fluorescence quenching properties of molybdenum disulfide (MoS2) nanosheets and the enzyme-assisted signal amplification properties of duplex-specific nuclease (DSN). First, a fluorescently-labeled nucleic acid probe was used to hybridize the target miRNA to form a DNA/RNA hybrid structure. Under the action of the DSN, the DNA single strand in the DNA/RNA hybrid strand was selectively digested into smaller oligonucleotide fragments. At the same time, the released miRNA target triggers the next reaction cycle, so as to achieve signal amplification. Then, MoS2 was used to selectively quench the fluorescence of the undigested probe leaving the fluorescent signal of the fluorescently-labeled probe fragments. The fluorometric signals for miRNA-21 had a maximum excitation/emission wavelength of 488/518 nm. Most importantly, the biosensor was then applied for the accurate quantitative detection of miRNA-21 in exosome lysates extracted from human plasma and this method was able to successfully distinguish lung cancer patients from healthy people. This biosensor provides a simple, rapid, and a highly specific quantitative method for exosomal miRNA and has promising potential to be used in the early diagnosis of lung cancer.</t>
  </si>
  <si>
    <t>[Gao, Zibo; Yuan, Huijie; Mao, Yanhua; Ding, Lihua; Effah, Clement Yaw; He, Sitian; He, Leiliang; Liu, Li-E; Yu, Songcheng; Wang, Yilin; Wang, Jia; Tian, Yongmei; Yu, Fei; Guo, Hongchao; Wu, Yongjun] Zhengzhou Univ, Coll Publ Hlth, Zhengzhou 450001, Peoples R China; [Miao, Lijun] Zhengzhou Univ, Affiliated Hosp 1, Zhengzhou 450052, Peoples R China; [Qu, Lingbo] Zhengzhou Univ, Henan Joint Int Res Lab Green Construct Funct Mol, Zhengzhou 450001, Peoples R China</t>
  </si>
  <si>
    <t>Zhengzhou University; Zhengzhou University; Zhengzhou University</t>
  </si>
  <si>
    <t>Wu, YJ (corresponding author), Zhengzhou Univ, Coll Publ Hlth, Zhengzhou 450001, Peoples R China.</t>
  </si>
  <si>
    <t>wuyongjun135@126.com</t>
  </si>
  <si>
    <t>Effah, Clement Yaw/AAV-1741-2020</t>
  </si>
  <si>
    <t>Effah, Clement Yaw/0000-0002-9095-4558</t>
  </si>
  <si>
    <t>MAR 21</t>
  </si>
  <si>
    <t>10.1039/d0an02193h</t>
  </si>
  <si>
    <t>WOS:000631575100015</t>
  </si>
  <si>
    <t>Han, FS; Huang, DD; Huang, XH; Wang, W; Yang, SS; Chen, SZ</t>
  </si>
  <si>
    <t>Han, Fushi; Huang, Dongdong; Huang, Xinghong; Wang, Wei; Yang, Shusong; Chen, Shuzhen</t>
  </si>
  <si>
    <t>Exosomal microRNA-26b-5p down-regulates ATF2 to enhance radiosensitivity of lung adenocarcinoma cells</t>
  </si>
  <si>
    <t>JOURNAL OF CELLULAR AND MOLECULAR MEDICINE</t>
  </si>
  <si>
    <t>activating transcription factor 2; exosomes; lung adenocarcinoma; lung adenocarcinoma cells; microRNA-26b-5p; radiosensitivity</t>
  </si>
  <si>
    <t>HEPATOCELLULAR-CARCINOMA; H2AX PHOSPHORYLATION; BRAIN METASTASES; DNA-DAMAGE; CANCER; APOPTOSIS; PROLIFERATION; GAMMA-H2AX; RESISTANCE; RADIATION</t>
  </si>
  <si>
    <t>Lung adenocarcinoma (LUAD), as the most common subtype of non-small cell lung cancer, is responsible for more than 500 000 deaths worldwide annually. In this study, we identify a novel microRNA-26b-5p (miR-26b-5p) and elucidated its function on LUAD. The survival rate of parent LUAD cells and radiation-resistant LUAD cells were determined using clonogenic survival assay. We overexpressed or inhibited miR-26b-5p in LUAD, and the correlation between activating transcription factor 2 (ATF2) and miR-26b-5p was determined using integrated bioinformatics analysis and dual-luciferase reporter gene assay. Exosomes derived from A549 cell lines were then detected using Western blot assay, followed by co-transfection with radiation-resistant A549R cells. LUAD tissues and serum were collected, followed by miR-26b-5p relative expression quantification using RT-qPCR. miR-26b-5p was identified as the most differentially expressed miRNA and was down-regulated in LUAD. Radiation-resistant cells were more resistant to X-radiation compared with parent cells. miR-26b-5p overexpression and X-irradiation led to enhanced radiosensitivity of LUAD cells. ATF2 was negatively targeted by miR-26b-5p. Exosomal miR-26b-5p derived from A549 cells could be transported to irradiation-resistant LUAD cells and inhibit ATF2 expression to promote DNA damage, apoptosis and radiosensitivity of LUAD cells, which was verified using serum-based miR-26b-5p. Our results show a regulatory network of miR-26b-5p on radiosensitivity of LUAD cells, which may serve as a non-invasive biomarker for LUAD.</t>
  </si>
  <si>
    <t>[Han, Fushi; Chen, Shuzhen] Tongji Univ, Tongji Hosp, Dept Nucl Med, Sch Med, 389 Xincun Rd, Shanghai 200065, Peoples R China; [Huang, Dongdong] Tongji Univ, Shanghai Pulm Hosp, Dept Emergency Med, Sch Med, Shanghai, Peoples R China; [Huang, Xinghong] Tongji Univ, Tongji Hosp, Dept Radiol, Sch Med, Shanghai, Peoples R China; [Wang, Wei] Tongji Univ, Tongji Hosp, Dept Internal Med, Sch Med, Shanghai, Peoples R China; [Yang, Shusong] Tongji Univ, Tongji Hosp, Dept Radiotherapy, Sch Med, Shanghai, Peoples R China</t>
  </si>
  <si>
    <t>Tongji University; Tongji University; Tongji University; Tongji University; Tongji University</t>
  </si>
  <si>
    <t>Chen, SZ (corresponding author), Tongji Univ, Tongji Hosp, Dept Nucl Med, Sch Med, 389 Xincun Rd, Shanghai 200065, Peoples R China.</t>
  </si>
  <si>
    <t>alice3396@126.com</t>
  </si>
  <si>
    <t>Chen, Shuzhen/0000-0002-1414-2128</t>
  </si>
  <si>
    <t>1582-1838</t>
  </si>
  <si>
    <t>1582-4934</t>
  </si>
  <si>
    <t>10.1111/jcmm.15402</t>
  </si>
  <si>
    <t>Cell Biology; Medicine, Research &amp; Experimental</t>
  </si>
  <si>
    <t>WOS:000536466200001</t>
  </si>
  <si>
    <t>Morokoff, A; Jones, J; Nguyen, H; Ma, CK; Lasocki, A; Gaillard, F; Bennett, I; Luwor, R; Stylli, S; Paradiso, L; Koldej, R; Paldor, I; Molania, R; Speed, TP; Webb, A; Infusini, G; Li, JS; Malpas, C; Kalincik, T; Drummond, K; Siegal, T; Kaye, AH</t>
  </si>
  <si>
    <t>Morokoff, Andrew; Jones, Jordan; Nguyen, Hong; Ma, Chenkai; Lasocki, Arian; Gaillard, Frank; Bennett, Iwan; Luwor, Rod; Stylli, Stanley; Paradiso, Lucia; Koldej, Rachel; Paldor, Iddo; Molania, Ramyar; Speed, Terence P.; Webb, Andrew; Infusini, Guiseppe; Li, Jason; Malpas, Charles; Kalincik, Tomas; Drummond, Katharine; Siegal, Tali; Kaye, Andrew H.</t>
  </si>
  <si>
    <t>Serum microRNA is a biomarker for post-operative monitoring in glioma</t>
  </si>
  <si>
    <t>JOURNAL OF NEURO-ONCOLOGY</t>
  </si>
  <si>
    <t>Glioma; Glioblastoma; Biomarkers; miRNA; Liquid biopsy</t>
  </si>
  <si>
    <t>POTENTIAL NONINVASIVE BIOMARKERS; CIRCULATING TUMOR DNA; CEREBROSPINAL-FLUID; PERIPHERAL-BLOOD; GLIOBLASTOMA; EXPRESSION; SIGNATURE; DIAGNOSIS; IDENTIFICATION; EXOSOMES</t>
  </si>
  <si>
    <t>Purpose A circulating biomarker has potential to provide more accurate information for glioma progression post treatment, however no such biomarker is currently available. We aimed to discover a microRNA serum biomarker for longitudinal monitoring of glioma patients. Methods A prospectively collected cohort of 91 glioma patients and 17 healthy controls underwent pre and post-operative serum miRNA profiling using Nanostring (R). Differentially expressed miRNAs were discovered using a machine learning random forest analysis. Candidate miRNAs were then assessed by droplet digital PCR in 11 patients with multiple follow up samples and compared to tumor volume based on magnetic resonance imaging. Results A 9-gene miRNA signature was identified that could distinguish between glioma and healthy controls with 99.8% accuracy. Two miRNAs miR-223 and miR-320e, best demonstrated dynamic changes that correlated closely with tumor volume in LGG and GBM respectively. Importantly, miRNA levels did not increase in two cases of pseudo-progression, indicating the potential utility of this test in guiding treatment decisions. Conclusions We identified a highly accurate 9-miRNA signature associated with glioma serum. Additionally, we observed dynamic changes in specific miRNAs correlating with tumor volume over long-term follow up. These results support a large prospective validation study of serum miRNA biomarkers in glioma.</t>
  </si>
  <si>
    <t>[Morokoff, Andrew; Jones, Jordan; Nguyen, Hong; Ma, Chenkai; Bennett, Iwan; Luwor, Rod; Paradiso, Lucia; Drummond, Katharine; Kaye, Andrew H.] Univ Melbourne, Dept Surg, Parkville, Vic, Australia; [Morokoff, Andrew; Jones, Jordan; Stylli, Stanley; Paldor, Iddo; Drummond, Katharine] Royal Melbourne Hosp, Dept Neurosurg, Parkville, Vic, Australia; [Lasocki, Arian; Gaillard, Frank] Univ Melbourne, Dept Radiol, Parkville, Vic, Australia; [Koldej, Rachel] Univ Melbourne, Dept Med, Parkville, Vic, Australia; [Molania, Ramyar; Speed, Terence P.; Webb, Andrew; Infusini, Guiseppe] Walter &amp; Eliza Hall Inst Med Res, Parkville, Vic, Australia; [Li, Jason] Peter MacCallum Canc Ctr, Parkville, Vic, Australia; [Siegal, Tali] Rabin Med Ctr, Neurooncol, Davidoff Inst Oncol, Petah Tiqwa, Israel; [Malpas, Charles; Kalincik, Tomas] Royal Melbourne Hosp, Clin Outcomes Res Unit, Parkville, Vic, Australia; [Kaye, Andrew H.] Hadassah Hebrew Univ, Dept Neurosurg, Jerusalem, Israel; [Morokoff, Andrew] Univ Melbourne, Dept Surg, Royal Melbourne Hosp, Parkville, Vic 3050, Australia</t>
  </si>
  <si>
    <t>University of Melbourne; Royal Melbourne Hospital; University of Melbourne; University of Melbourne; Walter &amp; Eliza Hall Institute; Peter Maccallum Cancer Center; Rabin Medical Center; Royal Melbourne Hospital; Hebrew University of Jerusalem; Hadassah University Medical Center; Royal Melbourne Hospital; University of Melbourne</t>
  </si>
  <si>
    <t>Morokoff, A (corresponding author), Univ Melbourne, Dept Surg, Parkville, Vic, Australia.;Morokoff, A (corresponding author), Royal Melbourne Hosp, Dept Neurosurg, Parkville, Vic, Australia.;Morokoff, A (corresponding author), Univ Melbourne, Dept Surg, Royal Melbourne Hosp, Parkville, Vic 3050, Australia.</t>
  </si>
  <si>
    <t>morokoff@unimelb.edu.au</t>
  </si>
  <si>
    <t>Morokoff, Andrew/ABC-2783-2020; Ma, Chenkai/AAK-4261-2020</t>
  </si>
  <si>
    <t>Morokoff, Andrew/0000-0002-5159-3438; Ma, Chenkai/0000-0003-2172-7332; Koldej, Rachel/0000-0002-1627-8934; Malpas, Charles/0000-0003-0534-3718</t>
  </si>
  <si>
    <t>0167-594X</t>
  </si>
  <si>
    <t>1573-7373</t>
  </si>
  <si>
    <t>10.1007/s11060-020-03566-w</t>
  </si>
  <si>
    <t>WOS:000568795600001</t>
  </si>
  <si>
    <t>B</t>
  </si>
  <si>
    <t>Lianidou, E; Hoon, D</t>
  </si>
  <si>
    <t>Rifai, N; Horvath, AR; Wittwer, CT</t>
  </si>
  <si>
    <t>Lianidou, Evi; Hoon, Dave</t>
  </si>
  <si>
    <t>Circulating Tumor Cells and Circulating Tumor DNA</t>
  </si>
  <si>
    <t>PRINCIPLES AND APPLICATIONS OF MOLECULAR DIAGNOSTICS</t>
  </si>
  <si>
    <t>METASTATIC BREAST-CANCER; RNA-POSITIVE CELLS; RESISTANT PROSTATE-CANCER; EPITHELIAL-MESENCHYMAL TRANSITION; PROGRESSION-FREE SURVIVAL; POLYMERASE-CHAIN-REACTION; IN-SITU HYBRIDIZATION; FREE PLASMA DNA; PROVIDES PROGNOSTIC INFORMATION; FACTOR RECEPTOR MUTATIONS</t>
  </si>
  <si>
    <t>Background Classic tissue biopsies or surgical resections are invasive procedures that capture only a single snapshot in the evolution of cancer. In contrast, a blood-based test or liquid biopsy has the potential to characterize the evolution of a solid tumor in real time by extracting molecular information from circulating tumor cells (CTCs), circulating tumor DNA (ctDNA), circulating miRNAs, or exosomes. Molecular characterization of CTCs and ctDNA holds considerable promise for the identification of therapeutic targets and resistance mechanisms and for real-time monitoring of the efficacy of systemic therapies. The major potential advantage of CTC and ctDNA analysis is that they are minimally invasive and can be serially repeated. Content This overview is focused on the diagnostic, prognostic, and predictive value of CTCs and ctDNA in cancer patients. It includes key studies in different cancers and incorporates the latest advances in genome-wide analysis of ctDNA. Focus includes (1) CTC isolation, enumeration, and detection systems; (2) clinical applications of CTC; (3) different forms of ctDNA; (4) ctDNA isolation and detection systems; (5) clinical applications of ctDNA; (6) quality control and standardization of liquid biopsy assays; (7) the potential of liquid biopsy in the clinical laboratory; and (8) the potential of the molecular characterization of CTCs and ctDNA analysis as a liquid biopsy for individualized therapy. With respect to the clinical laboratory, the development of targeted molecular assays as companion diagnostics, for disease monitoring, and even for early cancer detection are all potential possibilities at various stages of development.</t>
  </si>
  <si>
    <t>[Lianidou, Evi] Natl &amp; Kapodistrian Univ Athens, Analyt Chem Clin Chem, Athens, Greece; [Hoon, Dave] Providence Hlth Syst, John Wayne Canc Inst, Div Mol Oncol, Translat Mol Med, Santa Monica, CA USA</t>
  </si>
  <si>
    <t>National &amp; Kapodistrian University of Athens; John Wayne Cancer Institute</t>
  </si>
  <si>
    <t>Hoon, D (corresponding author), Providence Hlth Syst, John Wayne Canc Inst, Div Mol Oncol, Translat Mol Med, Santa Monica, CA USA.</t>
  </si>
  <si>
    <t>Lianidou, Evi/0000-0002-7796-5914</t>
  </si>
  <si>
    <t>978-0-12-816062-6; 978-0-12-816061-9</t>
  </si>
  <si>
    <t>10.1016/B978-0-12-816061-9.00009-6</t>
  </si>
  <si>
    <t>Biochemistry &amp; Molecular Biology; Medical Laboratory Technology; Pathology</t>
  </si>
  <si>
    <t>WOS:000540371000010</t>
  </si>
  <si>
    <t>Exosomal DNMT1 mRNA transcript is elevated in acute lymphoblastic leukemia which might reprograms leukemia progression</t>
  </si>
  <si>
    <t>Acute lymphocytic leukemia; Exosomes; Epigenetics; DNMT1</t>
  </si>
  <si>
    <t>DNA METHYLATION; NEUROPATHY; SIGNATURE; MUTATION</t>
  </si>
  <si>
    <t>DNMT1 (DNA-methyltransferase 1) is an enzyme which contributes to the process of normal embryonic development, and aberrant expression of DNMT1 leads to tumor/leukemia progression by inducing significant changes in DNA methylation and epigenetics. We found that DNMT1 mRNA transcript is elevated in Exo-PALL compared to Exo-HD. We also confirmed and showed heightened levels of DNMT1 mRNA transcript in Exo-CM of leukemia cell lines. Co-culture of Exo-PALL with target cells (leukemia B cells) showed transfer of exosomal DNMT1 mRNA transcript into the target cells, which may reprogram the biological nature of normal healthy cells and leukemia cells. (c) 2021 Elsevier Inc. All rights reserved.</t>
  </si>
  <si>
    <t>[Haque, Shabirul; Vaiselbuh, Sarah R.] Feinstein Inst Med Res, Northwell Hlth, 350 Community Dr, Manhasset, NY 11030 USA; [Vaiselbuh, Sarah R.] Staten Isl Univ Hosp, Dept Pediat, Northwell Hlth, 475 Seaview Ave, Staten Isl, NY 10305 USA; [Vaiselbuh, Sarah R.] Monsey Hlth Ctr, 40 Robert Pitt Dr, Monsey, NY 10952 USA; [Haque, Shabirul] Feinstein Inst Med Res, Ctr Autoimmune Musculoskeletal &amp; Hematopoiet Dis, 350 Community Dr, Manhasset, NY 11030 USA</t>
  </si>
  <si>
    <t>Northwell Health; Northwell Health; Northwell Health</t>
  </si>
  <si>
    <t>Haque, S (corresponding author), Feinstein Inst Med Res, Ctr Autoimmune Musculoskeletal &amp; Hematopoiet Dis, 350 Community Dr, Manhasset, NY 11030 USA.</t>
  </si>
  <si>
    <t>shaque@northwell.edu</t>
  </si>
  <si>
    <t>10.1016/j.cancergen.2021.07.004</t>
  </si>
  <si>
    <t>WOS:000802206800005</t>
  </si>
  <si>
    <t>Mahmudunnabi, RG; Umer, M; Seo, KD; Park, DS; Chung, JH; Shiddiky, MJA; Shim, YB</t>
  </si>
  <si>
    <t>Mahmudunnabi, Rabbee G.; Umer, Muhammad; Seo, Kyeong-Deok; Park, Deog-Su; Chung, Jae Heun; Shiddiky, Muhammad. J. A.; Shim, Yoon-Bo</t>
  </si>
  <si>
    <t>Exosomal microRNAs array sensor with a bioconjugate composed of p53 protein and hydrazine for the specific lung cancer detection</t>
  </si>
  <si>
    <t>Exosomal miRNA; Nanoconjugates; Microarray sensor; Conducting polymer; Amperometric detection</t>
  </si>
  <si>
    <t>STRANDED-DNA ENDS; DIAGNOSTIC BIOMARKERS; BIOSENSOR; PLASMA</t>
  </si>
  <si>
    <t>For the early diagnosis of lung cancer, a novel strategy to detect microRNAs encapsulated in exosomes with immunomagnetic isolation was demonstrated for the selective extraction of exo-miRNAs from patient serum. Here, miRNA was captured from lysed exosomes in specially designed capture probe modified magnetic beads, followed by T4 DNA polymerase-mediated in situ formation of chimeric 5'-miRNA-DNA-3' (Target). The poly-(2,2':5',2?-terthiophene-3'-(p-benzoic acid)) (pTBA)-modified electrode harbors Probe-1 DNA that hybridizes to the 5' end of the chimera, followed by hybridization of Probe-2 DNA to the 3' end of the chimera, resulting in the formation of a 20-nucleotide-long dsDNA consensus sequence for p53 protein binding. A bioconjugate composed of p53 and hydrazine assembled on AuNPs (p53-AuNPs-Hyd) recruits the p53 protein to recognize a specific sequence, forming the final sensor probe (pTBA-Probe-1:Target/Probe-2:bioconjugate), where hydrazine functions as an electrocatalyst to generate amperometric signal from the reduction of H2O2. This sensor has double specificity via selective capture of the target in Probe-1 and p53 recognition, which shows excellent analytical performance, revealing a dynamic range between 100 aM and 10 pM with a detection limit of 92 (+/- 0.1) aM. For practical applications, we prepared a multiplexed array sensor to simultaneously detect four exo-miRNAs (miRNA-21, miRNA-155, miRNA-205, and miRNA-let-7b) up to femtomolar levels from 1.0 mL to 125 mu L of cell culture (A549, MCF-7 and BEAS-2B) media and lung cancer patient serum samples, respectively.</t>
  </si>
  <si>
    <t>[Mahmudunnabi, Rabbee G.; Seo, Kyeong-Deok; Park, Deog-Su; Shim, Yoon-Bo] Pusan Natl Univ, Dept Chem, Pusan, South Korea; [Mahmudunnabi, Rabbee G.; Seo, Kyeong-Deok; Park, Deog-Su; Shim, Yoon-Bo] Pusan Natl Univ, Inst BioPhysio Sensor Technol, Busan 46241, South Korea; [Chung, Jae Heun] Pusan Natl Univ, Yangsan Hosp, Dept Internal Med, Yangsan 50612, South Korea; [Umer, Muhammad; Shiddiky, Muhammad. J. A.] Griffith Univ, Queensland Micro &amp; Nanotechnol Ctr QMNC, Nathan, Qld 4111, Australia; [Shiddiky, Muhammad. J. A.] Griffith Univ, Sch Environm &amp; Sci, Nathan, Qld 4111, Australia</t>
  </si>
  <si>
    <t>Pusan National University; Pusan National University; Pusan National University; Pusan National University Hospital; Griffith University; Griffith University</t>
  </si>
  <si>
    <t>Park, DS; Shim, YB (corresponding author), Pusan Natl Univ, Dept Chem, Pusan, South Korea.;Park, DS; Shim, YB (corresponding author), Pusan Natl Univ, Inst BioPhysio Sensor Technol, Busan 46241, South Korea.</t>
  </si>
  <si>
    <t>dsupark@pusan.ac.kr; ybshim@pusan.ac.kr</t>
  </si>
  <si>
    <t>; Umer, Muhammad/D-7072-2011; Shiddiky, Muhammad J. A./L-7165-2015</t>
  </si>
  <si>
    <t>Shim, Yoon-Bo/0000-0002-6295-1480; Umer, Muhammad/0000-0001-9983-0087; Seo, Kyeong-Deok/0000-0002-5393-3432; Shiddiky, Muhammad J. A./0000-0003-4526-4109; Chung, Jae Heun/0000-0003-4519-4219</t>
  </si>
  <si>
    <t>10.1016/j.bios.2022.114149</t>
  </si>
  <si>
    <t>WOS:000782656700005</t>
  </si>
  <si>
    <t>Hahn, S; Giaglis, S; Buser, A; Hoesli, I; Lapaire, O; Hasler, P</t>
  </si>
  <si>
    <t>Hahn, Sinuhe; Giaglis, Stavros; Buser, Andreas; Hoesli, Irene; Lapaire, Olav; Hasler, Paul</t>
  </si>
  <si>
    <t>Cell-free nucleic acids in (maternal) blood: any relevance to (reproductive) immunologists?</t>
  </si>
  <si>
    <t>JOURNAL OF REPRODUCTIVE IMMUNOLOGY</t>
  </si>
  <si>
    <t>Cell-free DNA; Placenta; Neutrophil extracellular traps (NETs); miRNA</t>
  </si>
  <si>
    <t>NEUTROPHIL EXTRACELLULAR DNA; FETAL DNA; MESSENGER-RNA; CIRCULATING DNA; ELEVATED LEVELS; PLASMA DNA; TRAPS; PREGNANCY; SERUM; MICROPARTICLES</t>
  </si>
  <si>
    <t>Cell-free foetal DNA recently hit the international headlines by facilitating the non-invasive prenatal testing (NIPT) of foetal chromosomal anomalies directly from maternal blood samples. Being largely of placental origin, cell-free foetal DNA may also, however, provide insight into underlying pathological changes in preeclampsia, or the influences of external stresses, such as hypoxia. This analysis may be enhanced by the simultaneous assessment of placenta-derived, cell-free mRNA species. The source of maternal cell-free DNA is not readily apparent, but may involve neutrophil extracellular traps (NETs). The rapid rise in this material following removal of the placenta, especially in preeclampsia, may indicate a rapid transient maternal inflammatory response to placenta-derived debris. Since NETs have recently been shown to promote coagulation, this may provide a link to pregnancy-associated thrombosis or placental infarction. The presence of cell-free, placenta-derived DNA may not be as innocuous as commonly assumed, as it is largely hypomethylated and could, like bacterial DNA, trigger the activation of maternal immune effector cells via interaction with toll-like receptor 9 (TLR9), thereby contributing to an excessive inflammatory response in preeclampsia or preterm labour. Possibly the most fascinating aspect concerning placenta-derived, cell-free nucleic acids is the recent report that placental exosomes loaded with placenta-specific C19MC miRNA species may modulate the antiviral response of maternal immune cells, thereby ensuring foetal well-being. (C) 2014 Elsevier Ireland Ltd. All rights reserved.</t>
  </si>
  <si>
    <t>[Hahn, Sinuhe; Giaglis, Stavros] Univ Basel Hosp, Dept Biomed, Lab Prenatal Med, CH-4031 Basel, Switzerland; [Giaglis, Stavros; Hasler, Paul] Kantonsspital Aarau, Dept Rheumatol, Aarau, Switzerland; [Buser, Andreas] Univ Basel Hosp, Dept Internal Med, Div Hematol, CH-4031 Basel, Switzerland; [Buser, Andreas] Swiss Red Cross, Ctr Blood Transfus, Basel, Switzerland; [Hoesli, Irene; Lapaire, Olav] Univ Womens Hosp Basel, Dept Obstet, CH-4031 Basel, Switzerland</t>
  </si>
  <si>
    <t>University of Basel; Kantonsspital Aarau AG (KSA); University of Basel</t>
  </si>
  <si>
    <t>Hahn, S (corresponding author), Univ Basel Hosp, Dept Res, Lab Prenatal Med, Hebelstr 20, CH-4031 Basel, Switzerland.</t>
  </si>
  <si>
    <t>sinuhe.hahn@usb.ch</t>
  </si>
  <si>
    <t>Buser, Andreas S/A-2660-2008; Buser, Andreas/AAL-8676-2020</t>
  </si>
  <si>
    <t>Buser, Andreas S/0000-0002-7942-6746; Buser, Andreas/0000-0002-7942-6746; Giaglis, Stavros/0000-0003-2216-9539</t>
  </si>
  <si>
    <t>0165-0378</t>
  </si>
  <si>
    <t>1872-7603</t>
  </si>
  <si>
    <t>10.1016/j.jri.2014.03.007</t>
  </si>
  <si>
    <t>Immunology; Reproductive Biology</t>
  </si>
  <si>
    <t>WOS:000342879000006</t>
  </si>
  <si>
    <t>FRANK, S; KRASZNAI, K; DUROVIC, S; LOBENTANZ, EM; DIEPLINGER, H; WAGNER, E; ZATLOUKAL, K; COTTEN, M; UTERMANN, G; KOSTNER, GM; ZECHNER, R</t>
  </si>
  <si>
    <t>HIGH-LEVEL EXPRESSION OF VARIOUS APOLIPOPROTEIN(A) ISOFORMS BY TRANSFERRINFECTION - THE ROLE OF KRINGLE-IV SEQUENCES IN THE EXTRACELLULAR ASSOCIATION WITH LOW-DENSITY-LIPOPROTEIN</t>
  </si>
  <si>
    <t>BIOCHEMISTRY</t>
  </si>
  <si>
    <t>GOLGI VESICLE MEMBRANES; PLASMA-CONCENTRATIONS; SIZE HETEROGENEITY; MUTANT DEFICIENT; GENE CONSTRUCTS; MESSENGER-RNA; CELLS; PLASMINOGEN; PROTEIN; COMPLEX</t>
  </si>
  <si>
    <t>Characterization of the assembly of lipoprotein(a) [Lp(a)] is of fundamental importance to understanding the biosynthesis and metabolism of this atherogenic lipoprotein. Since no established cell lines exist that express Lp(a) or apolipoprotein(a) [apo(a)], a ''transferrinfection'' system for apo(a) was developed utilizing adenovirus receptor- and transferrin receptor-mediated DNA uptake into cells. Using this method, different apo(a) cDNA constructions of variable length, due to the presence of 3, 5, 7, 9, 15, or 18 internal kringle IV sequences, were expressed in cos-7 cells or CHO cells, All constructions contained kringle IV-36, which includes the only unpaired cysteine residue (Cys-4057) in apo(a). r-Apo(a) was synthesized as a precursor and secreted as mature apolipoprotein into the medium. When medium containing r-apo(a) with 9, 15, or 18 kringle IV repeats was mixed with normal human plasma LDL, stable complexes formed that had a bouyant density typical of Lp(a). Association was substantially decreased if Cys-4057 on r-apo(a) was replaced by Arg by site-directed mutagenesis or if Cys-4057 was chemically modified. Lack of association was also observed with r-apo(a) containing only 3, 5, or 7 kringle IV repeats without ''unique kringle IV sequences'', although Cys-4057 was present in al of these constructions. Synthesis and secretion of r-apo(a) was not dependent. on its sialic acid content. r-Apo(a) was expressed even more efficiently in sialylation-defective CHO cells than in wild-type CHO cells. In transfected CHO cells defective in the addition of N-acetylglucosamine, apo(a) secretion was found to be decreased by 50%. Extracellular association with LDL was not affected by the carbohydrate moiety of r-apo(a), indicating a protein-protein interaction between r-apo(a) and apoB. These results show that, besides kringle IV-36, other kringle IV sequences are necessary for the extracellular association of r-apo(a) with LDL. Changes in the carbohydrate moiety of apo(a), however, do not affect complex formation.</t>
  </si>
  <si>
    <t>KARL FRANZENS UNIV GRAZ, INST MED BIOCHEM, A-8010 GRAZ, AUSTRIA; UNIV INNSBRUCK, INST MED BIOL &amp; HUMAN GENET, INNSBRUCK, AUSTRIA; UNIV VIENNA, INST MOLEC PATHOL, VIENNA, AUSTRIA</t>
  </si>
  <si>
    <t>University of Graz; University of Innsbruck; University of Vienna; Vienna Biocenter (VBC); Research Institute of Molecular Pathology (IMP)</t>
  </si>
  <si>
    <t>Wagner, Ernst/A-7435-2012</t>
  </si>
  <si>
    <t>Wagner, Ernst/0000-0001-8413-0934; Cotten, Matthew/0000-0002-3361-3351</t>
  </si>
  <si>
    <t>0006-2960</t>
  </si>
  <si>
    <t>OCT 11</t>
  </si>
  <si>
    <t>10.1021/bi00206a041</t>
  </si>
  <si>
    <t>WOS:A1994PL35800041</t>
  </si>
  <si>
    <t>Ebrahimkhani, S; Vafaee, F; Young, PE; Hur, SSJ; Hawke, S; Devenney, E; Beadnall, H; Barnett, MH; Suter, CM; Buckland, ME</t>
  </si>
  <si>
    <t>Ebrahimkhani, Saeideh; Vafaee, Fatemeh; Young, Paul E.; Hur, Suzy S. J.; Hawke, Simon; Devenney, Emma; Beadnall, Heidi; Barnett, Michael H.; Suter, Catherine M.; Buckland, Michael E.</t>
  </si>
  <si>
    <t>Exosomal microRNA signatures in multiple sclerosis reflect disease status</t>
  </si>
  <si>
    <t>CIRCULATING EXOSOMES; GENE-EXPRESSION; BIOMARKERS; MIRNA; PROFILES; DATABASE</t>
  </si>
  <si>
    <t>Multiple Sclerosis (MS) is a chronic inflammatory demyelinating disease of the central nervous system (CNS). There is currently no single definitive test for MS. Circulating exosomes represent promising candidate biomarkers for a host of human diseases. Exosomes contain RNA, DNA, and proteins, can cross the blood-brain barrier, and are secreted from almost all cell types including cells of the CNS. We hypothesized that serum exosomal miRNAs could present a useful blood-based assay for MS disease detection and monitoring. Exosome-associated microRNAs in serum samples from MS patients (n = 25) and matched healthy controls (n = 11) were profiled using small RNA next generation sequencing. We identified differentially expressed exosomal miRNAs in both relapsing-remitting MS (RRMS) (miR15b-5p, miR-451a, miR-30b-5p, miR-342-3p) and progressive MS patient sera (miR-127-3p, miR-370-3p, miR-409-3p, miR-432-5p) in relation to controls. Critically, we identified a group of nine miRNAs (miR15b-5p, miR-23a-3p, miR-223-3p, miR-374a-5p, miR-30b-5p, miR-433-3p, miR-485-3p, miR-342-3p, miR-432-5p) that distinguished relapsing-remitting from progressive disease. Eight out of nine miRNAs were validated in an independent group (n = 11) of progressive MS cases. This is the first demonstration that microRNAs associated with circulating exosomes are informative biomarkers not only for the diagnosis of MS, but in predicting disease subtype with a high degree of accuracy.</t>
  </si>
  <si>
    <t>[Ebrahimkhani, Saeideh; Buckland, Michael E.] Royal Prince Alfred Hosp, Dept Neuropathol, Camperdown, NSW, Australia; [Ebrahimkhani, Saeideh; Devenney, Emma; Beadnall, Heidi; Barnett, Michael H.; Buckland, Michael E.] Univ Sydney, Brain &amp; Mind Ctr, Camperdown, NSW, Australia; [Ebrahimkhani, Saeideh; Hawke, Simon; Devenney, Emma; Beadnall, Heidi; Barnett, Michael H.; Buckland, Michael E.] Univ Sydney, Sydney Med Sch, Camperdown, NSW, Australia; [Vafaee, Fatemeh] Univ Sydney, Sch Math &amp; Stat, Camperdown, NSW, Australia; [Vafaee, Fatemeh] Univ Sydney, Charles Perkins Ctr, Camperdown, NSW, Australia; [Young, Paul E.; Hur, Suzy S. J.; Suter, Catherine M.] Victor Chang Cardiac Res Inst, Div Mol Struct &amp; Computat Biol, Darlinghurst, NSW, Australia; [Suter, Catherine M.] Univ New South Wales, Fac Med, Kensington, NSW, Australia; [Beadnall, Heidi; Barnett, Michael H.] Royal Prince Alfred Hosp, Dept Neurol, Camperdown, NSW, Australia; [Vafaee, Fatemeh] Univ New South Wales, Sch Biotechnol &amp; Biomol Sci, Sydney, NSW, Australia</t>
  </si>
  <si>
    <t>University of Sydney; University of Sydney; University of Sydney; University of Sydney; University of Sydney; Victor Chang Cardiac Research Institute; University of New South Wales Sydney; University of Sydney; University of New South Wales Sydney</t>
  </si>
  <si>
    <t>Buckland, ME (corresponding author), Royal Prince Alfred Hosp, Dept Neuropathol, Camperdown, NSW, Australia.;Buckland, ME (corresponding author), Univ Sydney, Brain &amp; Mind Ctr, Camperdown, NSW, Australia.;Buckland, ME (corresponding author), Univ Sydney, Sydney Med Sch, Camperdown, NSW, Australia.</t>
  </si>
  <si>
    <t>michael.buckland@sydney.edu.au</t>
  </si>
  <si>
    <t>Hur, Soo Ji/0000-0003-4035-2484; Vafaee, Fatemeh/0000-0002-7521-2417; Buckland, Michael/0000-0003-4755-6471</t>
  </si>
  <si>
    <t>OCT 30</t>
  </si>
  <si>
    <t>10.1038/s41598-017-14301-3</t>
  </si>
  <si>
    <t>WOS:000414129700005</t>
  </si>
  <si>
    <t>Adeola, HA; Bello, IO; Aruleba, RT; Francisco, NM; Adekiya, TA; Adefuye, AO; Ikwegbue, PC; Musaigwa, F</t>
  </si>
  <si>
    <t>Adeola, Henry Ademola; Bello, Ibrahim O.; Aruleba, Raphael Taiwo; Francisco, Ngiambudulu M.; Adekiya, Tayo Alex; Adefuye, Anthonio Oladele; Ikwegbue, Paul Chukwudi; Musaigwa, Fungai</t>
  </si>
  <si>
    <t>The Practicality of the Use of Liquid Biopsy in Early Diagnosis and Treatment Monitoring of Oral Cancer in Resource-Limited Settings</t>
  </si>
  <si>
    <t>Africa; cfDNA; circulating tumour cells; exosomes; liquid biopsy; oral squamous cell carcinoma</t>
  </si>
  <si>
    <t>SQUAMOUS-CELL CARCINOMA; CIRCULATING TUMOR-CELLS; CLINICAL-RELEVANCE; HEAD; DNA; ASSOCIATION; SENSITIVITY; VALIDATION; BIOMARKERS; EXOSOMES</t>
  </si>
  <si>
    <t>Simple Summary Mouth cancer often results in poor outcomes and requires the use of state-of-the-art medical approaches to make its detection easy, individualized, and early. Liquid biopsy is a new and important medical approach to disease detection. This approach has been successfully used for mouth cancer detection and monitoring of treatment progress in many countries. Liquid biopsy is an attractive option for mouth cancer detection because it does not involve any invasive procedure and can be used on easily accessible body fluids, such as saliva and blood. Furthermore, there is evidence that this technology has some advantage over the normal tissue biopsy because it is not invasive, neither does it need any surgical expertise. Hence, we have focused on how easy or practical it would be, to employ the use of liquid biopsy on the African continent, as well as other low- and middle-income countries. We have discussed the different types of this technology in three main areas of focus, viz, what factors are important before, during and after collection of samples for liquid biopsy analysis, and what are the obstacles to routine use of this approach in resource-limited settings. An important driving force for precision and individualized medicine is the provision of tailor-made care for patients on an individual basis, in accordance with best evidence practice. Liquid biopsy(LB) has emerged as a critical tool for the early diagnosis of cancer and for treatment monitoring, but its clinical utility for oral squamous cell carcinoma (OSCC) requires more research and validation. Hence, in this review, we have discussed the current applications of LB and the practicality of its routine use in Africa; the potential advantages of LB over the conventional gold-standard of tissue biopsy; and finally, practical considerations were discussed in three parts: pre-analytic, analytic processing, and the statistical quality and postprocessing phases. Although it is imperative to establish clinically validated and standardized working guidelines for various aspects of LB sample collection, processing, and analysis for optimal and reliable use, manpower and technological infrastructures may also be an important factor to consider for the routine clinical application of LB for OSCC. LB is poised as a non-invasive precision tool for personalized oral cancer medicine, particularly for OSCC in Africa, when fully embraced. The promising application of different LB approaches using various downstream analyses such as released circulating tumor cells (CTCs), cell free DNA (cfDNA), microRNA (miRNA), messenger RNA (mRNA), and salivary exosomes were discussed. A better understanding of the diagnostic and therapeutic biomarkers of OSCC, using LB applications, would significantly reduce the cost, provide an opportunity for prompt detection and early treatment, and a method to adequately monitor the effectiveness of the therapy for OSCC, which typically presents with ominous prognosis.</t>
  </si>
  <si>
    <t>[Adeola, Henry Ademola] Univ Western Cape, Tygerberg Hosp, Fac Dent, Dept Oral &amp; Maxillofacial Pathol, ZA-7505 Cape Town, South Africa; [Adeola, Henry Ademola] Univ Cape Town, Div Dermatol, Dept Med, Fac Hlth Sci, ZA-7925 Cape Town, South Africa; [Adeola, Henry Ademola] Univ Cape Town, Groote Schuur Hosp, ZA-7925 Cape Town, South Africa; [Bello, Ibrahim O.] King Saud Univ, Coll Dent, Dept Oral Med &amp; Diagnost Sci, Riyadh 11545, Saudi Arabia; [Aruleba, Raphael Taiwo] Univ Cape Town, Fac Sci, Dept Mol &amp; Cell Biol, ZA-7700 Cape Town, South Africa; [Francisco, Ngiambudulu M.] Inst Nacl Invest Saude, Grp Invest Microbiana &amp; Imunol, Luanda 3635, Angola; [Adekiya, Tayo Alex] Univ Witwatersrand, Wits Adv Drug Delivery Platform Res Unit, Dept Pharm &amp; Pharmacol, Sch Therapeut Sci,Fac Hlth Sci, 7 York Rd, ZA-2193 Johannesburg, South Africa; [Adefuye, Anthonio Oladele] Univ Free State, Fac Hlth Sci, Div Hlth Sci Educ, Off Dean, POB 339, ZA-9300 Bloemfontein, South Africa; [Ikwegbue, Paul Chukwudi; Musaigwa, Fungai] Univ Cape Town, Fac Hlth Sci, Inst Infect Dis &amp; Mol Med IDM, Div Immunol, ZA-7925 Cape Town, South Africa</t>
  </si>
  <si>
    <t>Tygerberg Hospital; University of Limpopo; University of the Western Cape; University of Cape Town; University of Cape Town; King Saud University; University of Cape Town; University of Witwatersrand; University of the Free State; University of Cape Town</t>
  </si>
  <si>
    <t>Adeola, HA (corresponding author), Univ Western Cape, Tygerberg Hosp, Fac Dent, Dept Oral &amp; Maxillofacial Pathol, ZA-7505 Cape Town, South Africa.;Adeola, HA (corresponding author), Univ Cape Town, Div Dermatol, Dept Med, Fac Hlth Sci, ZA-7925 Cape Town, South Africa.;Adeola, HA (corresponding author), Univ Cape Town, Groote Schuur Hosp, ZA-7925 Cape Town, South Africa.</t>
  </si>
  <si>
    <t>henry.adeola@uct.ac.za; ibello@ksu.edu.sa; arlrap001@myuct.ac.za; franciscongiamb@yahoo.com; adekiyatalex@gmail.com; adefuyeao@ufs.ac.za; ikwpau001@myuct.ac.za; msgfun001@myuct.ac.za</t>
  </si>
  <si>
    <t>Adekiya, Tayo Alex/0000-0002-3382-9080; Musaigwa, Fungai/0000-0003-0216-0385; Adefuye, Anthonio/0000-0003-2380-1487; Aruleba, Raphael/0000-0003-0879-344X; FRANCISCO, NGIAMBUDULU M./0000-0003-3255-8968</t>
  </si>
  <si>
    <t>10.3390/cancers14051139</t>
  </si>
  <si>
    <t>WOS:000775638400001</t>
  </si>
  <si>
    <t>Taylor, NG</t>
  </si>
  <si>
    <t>Taylor, Neil G.</t>
  </si>
  <si>
    <t>A role for Arabidopsis dynamin related proteins DRP2A/B in endocytosis; DRP2 function is essential for plant growth</t>
  </si>
  <si>
    <t>PLANT MOLECULAR BIOLOGY</t>
  </si>
  <si>
    <t>Endocytosis; Plasma membrane; Dynamin; Plant growth; Arabidopsis; Tip growth</t>
  </si>
  <si>
    <t>CELLULOSE SYNTHESIS; VESICLE FORMATION; PH DOMAIN; HOMOLOGY; TRAFFICKING; MUTANTS; FAMILY</t>
  </si>
  <si>
    <t>Endocytosis is an essential cellular process that allows cells to internalise proteins and lipid from the plasma membrane to change its composition and sense and respond to alterations in their extracellular environment. In animal cells, the protein dynamin is involved in membrane scission during endocytosis, allowing invaginating vesicles to become internalised. Arabidopsis encodes two proteins that have all the domains essential for function in the animal dynamins, Dynamin Related Proteins 2A and 2B (DRP2A and 2B). These proteins show very high sequence identity and are both expressed throughout the plant. Single mutants exhibited no obvious phenotypes but double mutants could be recovered as gametophytes carrying mutant copies of both DRP2A and DRP2B were not transmitted to the next generation. Immunolabelling localised DRP2A/B to the tips of root hairs, a site where rapid endocytosis takes place. Constitutive expression of a GTPase defective Dominant Negative form of DRP2A/B did not allow the recovery of plants expressing this protein at a detectable level, demonstrating an interference with endogenous dynamin. Using an inducible expression system Dominant Negative protein was transiently expressed at levels several fold that of the endogenous proteins. Inducible expression of the Dominant Negative protein resulted in reduced endocytosis at the tips of root hairs, as measured by internalisation of an endocytic tracer dye, and resulted in root hairs bulging and bursting. Together these data support a role for DRP2A/B in endocytosis in Arabidopsis, and demonstrates that the function of at least one of these closely related proteins is essential for plant growth.</t>
  </si>
  <si>
    <t>Univ York, Dept Biol, Ctr Novel Agr Prod, York YO10 5DD, N Yorkshire, England</t>
  </si>
  <si>
    <t>University of York - UK</t>
  </si>
  <si>
    <t>Taylor, NG (corresponding author), Univ York, Dept Biol, Ctr Novel Agr Prod, York YO10 5DD, N Yorkshire, England.</t>
  </si>
  <si>
    <t>enquiries@sciartimages.co.uk</t>
  </si>
  <si>
    <t>0167-4412</t>
  </si>
  <si>
    <t>1573-5028</t>
  </si>
  <si>
    <t>10.1007/s11103-011-9773-1</t>
  </si>
  <si>
    <t>Biochemistry &amp; Molecular Biology; Plant Sciences</t>
  </si>
  <si>
    <t>WOS:000290771800009</t>
  </si>
  <si>
    <t>Zhou, MY; Li, C; Wang, BL; Huang, L</t>
  </si>
  <si>
    <t>Zhou, Mengyang; Li, Chao; Wang, Baolong; Huang, Lin</t>
  </si>
  <si>
    <t>Rapid and sensitive leukemia-derived exosome quantification via nicking endonuclease-assisted target recycling</t>
  </si>
  <si>
    <t>ANALYTICAL METHODS</t>
  </si>
  <si>
    <t>APTASENSOR; VESICLES</t>
  </si>
  <si>
    <t>Exosomes as fluid biomarkers hold great promise for noninvasive cancer diagnosis. However, a method for the rapid and convenient detection of exosomes is still a challenge because current analysis processes involve multiple steps and yield low sensitivity. Here, we developed a wash-free fluorescent biosensor for the rapid and sensitive quantification of exosomes by combining aptamer and nicking endonuclease (Nb center dot BbvCI). In this system, an aptamer-trigger complex was used as the recognition element; the trigger probe could be released, and it hybridized with gold nanoparticles (GNPs)-DNA-FAM conjugates, thereby resulting in Nb center dot BbvCI-assisted target recycling. As a result, our method allowed the quantification of exosomes with lower analysis time by using a cocktail containing an aptamer-trigger complex, Nb center dot BbvCI, and GNPs-DNA-FAM. A high sensitivity with a limit of detection (LOD) of 1.0 x 10(4) particles per mu L could be achieved. Besides, this biosensor exhibited potential application for the quantification of exosomes in human plasma, facilitating the development of exosome-based noninvasive cancer diagnosis.</t>
  </si>
  <si>
    <t>[Zhou, Mengyang; Li, Chao; Huang, Lin] Anhui Med Univ, Sch Life Sci, Hefei 230032, Anhui, Peoples R China; [Wang, Baolong] USTC, Anhui Prov Hosp, Affiliated Hosp 1, Hefei 230001, Anhui, Peoples R China</t>
  </si>
  <si>
    <t>Anhui Medical University; Chinese Academy of Sciences; University of Science &amp; Technology of China, CAS</t>
  </si>
  <si>
    <t>Huang, L (corresponding author), Anhui Med Univ, Sch Life Sci, Hefei 230032, Anhui, Peoples R China.</t>
  </si>
  <si>
    <t>huanglin8904@163.com</t>
  </si>
  <si>
    <t>huang, lin/0000-0002-8794-7920</t>
  </si>
  <si>
    <t>1759-9660</t>
  </si>
  <si>
    <t>1759-9679</t>
  </si>
  <si>
    <t>SEP 21</t>
  </si>
  <si>
    <t>10.1039/d1ay00854d</t>
  </si>
  <si>
    <t>Chemistry, Analytical; Food Science &amp; Technology; Spectroscopy</t>
  </si>
  <si>
    <t>Chemistry; Food Science &amp; Technology; Spectroscopy</t>
  </si>
  <si>
    <t>WOS:000687760700001</t>
  </si>
  <si>
    <t>Heintz-Buschart, A; Yusuf, D; Kaysen, A; Etheridge, A; Fritz, JV; May, P; de Beaufort, C; Upadhyaya, BB; Ghosal, A; Galas, DJ; Wilmes, P</t>
  </si>
  <si>
    <t>Heintz-Buschart, Anna; Yusuf, Dilmurat; Kaysen, Anne; Etheridge, Alton; Fritz, Joelle V.; May, Patrick; de Beaufort, Carine; Upadhyaya, Bimal B.; Ghosal, Anubrata; Galas, David J.; Wilmes, Paul</t>
  </si>
  <si>
    <t>Small RNA profiling of low biomass samples: identification and removal of contaminants</t>
  </si>
  <si>
    <t>BMC BIOLOGY</t>
  </si>
  <si>
    <t>RNA sequencing; Artefact removal; Exogenous RNA in human blood plasma; Contaminant RNA; Spin columns</t>
  </si>
  <si>
    <t>CIRCULATING MICRORNAS; MIRNAS; HOST; MICROVESICLES; EXTRACTION; MICROBIOTA; EXPRESSION; VESICLES; SEQUENCE; REVEALS</t>
  </si>
  <si>
    <t>Background: Sequencing-based analyses of low-biomass samples are known to be prone to misinterpretation due to the potential presence of contaminating molecules derived from laboratory reagents and environments. DNA contamination has been previously reported, yet contamination with RNA is usually considered to be very unlikely due to its inherent instability. Small RNAs (sRNAs) identified in tissues and bodily fluids, such as blood plasma, have implications for physiology and pathology, and therefore the potential to act as disease biomarkers. Thus, the possibility for RNA contaminants demands careful evaluation. Results: Herein, we report on the presence of small RNA (sRNA) contaminants in widely used microRNA extraction kits and propose an approach for their depletion. We sequenced sRNAs extracted from human plasma samples and detected important levels of non-human (exogenous) sequences whose source could be traced to the microRNA extraction columns through a careful qPCR-based analysis of several laboratory reagents. Furthermore, we also detected the presence of artefactual sequences related to these contaminants in a range of published datasets, thereby arguing in particular for a re-evaluation of reports suggesting the presence of exogenous RNAs of microbial and dietary origin in blood plasma. To avoid artefacts in future experiments, we also devise several protocols for the removal of contaminant RNAs, define minimal amounts of starting material for artefact-free analyses, and confirm the reduction of contaminant levels for identification of bona fide sequences using 'ultra-clean' extraction kits. Conclusion: This is the first report on the presence of RNA molecules as contaminants in RNA extraction kits. The described protocols should be applied in the future to avoid confounding sRNA studies.</t>
  </si>
  <si>
    <t>[Heintz-Buschart, Anna; Yusuf, Dilmurat; Kaysen, Anne; Fritz, Joelle V.; May, Patrick; de Beaufort, Carine; Upadhyaya, Bimal B.; Ghosal, Anubrata; Wilmes, Paul] Univ Luxembourg, Luxembourg Ctr Syst Biomed, L-4362 Esch Sur Alzette, Luxembourg; [Heintz-Buschart, Anna] German Ctr Integrat Biodivers Res iDiv Leipzig Ha, D-04103 Leipzig, Germany; [Heintz-Buschart, Anna] Helmholtz Ctr Environm Res GmbH UFZ, Dept Soil Ecol, D-06120 Halle, Saale, Germany; [Yusuf, Dilmurat] Univ Freiburg, Dept Comp Sci, Bioinformat Grp, D-79110 Freiburg, Germany; [Kaysen, Anne; Fritz, Joelle V.; de Beaufort, Carine] Ctr Hosp Luxembourg, L-1210 Luxembourg, Luxembourg; [Etheridge, Alton; Galas, David J.] Pacific Northwest Res Inst, Seattle, WA 98122 USA; [Ghosal, Anubrata] MIT, Dept Biol, 77 Massachusetts Ave, Cambridge, MA 02139 USA</t>
  </si>
  <si>
    <t>University of Luxembourg; Helmholtz Association; Helmholtz Center for Environmental Research (UFZ); University of Freiburg; Luxembourg Hospital Center; Massachusetts Institute of Technology (MIT)</t>
  </si>
  <si>
    <t>Heintz-Buschart, A; Wilmes, P (corresponding author), Univ Luxembourg, Luxembourg Ctr Syst Biomed, L-4362 Esch Sur Alzette, Luxembourg.;Heintz-Buschart, A (corresponding author), German Ctr Integrat Biodivers Res iDiv Leipzig Ha, D-04103 Leipzig, Germany.;Heintz-Buschart, A (corresponding author), Helmholtz Ctr Environm Res GmbH UFZ, Dept Soil Ecol, D-06120 Halle, Saale, Germany.</t>
  </si>
  <si>
    <t>anna.heintz-buschart@idiv.de; paul.wilmes@uni.lu</t>
  </si>
  <si>
    <t>Wilmes, Paul/B-1707-2017; Heintz-Buschart, Anna/AAP-3796-2020; May, Patrick/B-1238-2010; de Beaufort, Carine/AAJ-8063-2021; May, Patrick/N-1019-2019</t>
  </si>
  <si>
    <t>Wilmes, Paul/0000-0002-6478-2924; Heintz-Buschart, Anna/0000-0002-9780-1933; May, Patrick/0000-0001-8698-3770; de Beaufort, Carine/0000-0003-4310-6799; May, Patrick/0000-0001-8698-3770; Fritz, Joelle/0000-0002-4694-3923; Yusuf, Dilmurat/0000-0001-8683-7845</t>
  </si>
  <si>
    <t>1741-7007</t>
  </si>
  <si>
    <t>MAY 14</t>
  </si>
  <si>
    <t>10.1186/s12915-018-0522-7</t>
  </si>
  <si>
    <t>WOS:000432834700001</t>
  </si>
  <si>
    <t>Tan, J; Zhang, J; Wang, MK; Wang, YF; Dong, MZ; Ma, XF; Sun, BK; Liu, SS; Zhao, ZZ; Chen, LZ; Jin, WW; Liu, K; Xin, YN; Zhuang, LK</t>
  </si>
  <si>
    <t>Tan, Jie; Zhang, Jie; Wang, Mengke; Wang, Yifen; Dong, Mengzhen; Ma, Xuefeng; Sun, Baokai; Liu, Shousheng; Zhao, Zhenzhen; Chen, Lizhen; Jin, Wenwen; Liu, Kai; Xin, Yongning; Zhuang, Likun</t>
  </si>
  <si>
    <t>DRAM1 increases the secretion of PKM2-enriched EVs from hepatocytes to promote macrophage activation and disease progression in ALD</t>
  </si>
  <si>
    <t>EXTRACELLULAR VESICLES; P53; APOPTOSIS; PATHWAYS; INJURY; CELLS</t>
  </si>
  <si>
    <t>DNA damage-regulated autophagy modulator 1 (DRAM1) could play important roles in inflammation and hepatic apoptosis, while its roles in alcohol-related liver disease (ALD), which is characterized by hepatic inflammation and apoptosis, are still unclear. In this study, we explored the expression, role, and mechanism of DRAM1 in ALD. Firstly, our results showed that DRAM1 was significantly increased in liver tissues of mice at the early stage of alcohol treatment. In addition, DRAM1 knockout reduced, and liver-specific overexpression of DRAM1 aggravated, alcohol-induced hepatic steatosis, injury, and expressions of M1 macrophage markers in mice. Furthermore, ethanol-induced DRAM1 of hepatic cells increased pyruvate kinase M2 (PKM2)-enriched extracellular vesicles (EVs), and ectosomes derived from hepatic cells with DRAM1 overexpression promoted macrophage activation. with PKM2 and increased the PKM2 level in plasma membrane. At last, DRAM1 was significantly increased in liver tissues of ALD patients, and it was positively correlated with M1 macrophage markers. Taken together, this study revealed that ethanol-induced DRAM1 of hepatic cells could increase the PKM2-enriched EVs, promote macrophage activation, and aggravate the disease progression of ALD. These findings for the therapy of ALD.</t>
  </si>
  <si>
    <t>[Tan, Jie; Zhang, Jie; Wang, Mengke; Wang, Yifen; Dong, Mengzhen; Ma, Xuefeng; Sun, Baokai; Chen, Lizhen; Jin, Wenwen; Xin, Yongning] Qingdao Univ, Qingdao Municipal Hosp, Dept Infect Dis, Qingdao 266011, Peoples R China; [Liu, Shousheng; Zhao, Zhenzhen; Zhuang, Likun] Qingdao Univ, Qingdao Municipal Hosp, Clin Res Ctr, Qingdao 266071, Peoples R China; [Liu, Kai] Capital Med Univ, Beijing Youan Hosp, Beijing Inst Hepatol, Beijing 100069, Peoples R China</t>
  </si>
  <si>
    <t>Qingdao Municipal Hospital; Qingdao University; Qingdao Municipal Hospital; Qingdao University; Capital Medical University</t>
  </si>
  <si>
    <t>Xin, YN; Zhuang, LK (corresponding author), Qingdao Univ, Qingdao Municipal Hosp, Clin Res Ctr, Qingdao 266071, Peoples R China.</t>
  </si>
  <si>
    <t>xinyongning9812@163.com; zlk0823@163.com</t>
  </si>
  <si>
    <t>MAR 8</t>
  </si>
  <si>
    <t>10.1016/j.omtn.2021.12.017</t>
  </si>
  <si>
    <t>WOS:000766664100008</t>
  </si>
  <si>
    <t>TUCK, DP; CERRETTI, DP; HAND, A; GUHA, A; SORBA, S; DAINIAK, N</t>
  </si>
  <si>
    <t>HUMAN MACROPHAGE-COLONY-STIMULATING FACTOR IS EXPRESSED AT AND SHED FROM THE CELL-SURFACE</t>
  </si>
  <si>
    <t>BLOOD</t>
  </si>
  <si>
    <t>EXTRACELLULAR MEMBRANE-VESICLES; NIH 3T3 CELLS; GROWTH-FACTOR; TRANSFERRIN RECEPTOR; MOLECULAR-CLONING; PLASMA-MEMBRANES; HUMAN CSF-1; MONONUCLEAR-CELLS; RAT RETICULOCYTES; SOLUBLE FORMS</t>
  </si>
  <si>
    <t>Surface membrane-associated growth factors are being recognized as important for developmental processes, including cell assembly, differentiation, and growth. To investigate the role of membrane-bound macrophage colony-stimulating factor (M-CSF) in myelopoiesis, and whether this factor is released from the cell surface in association with shed membrane-derived vesicles, COS-1 cells were transfected with cDNAs for M-CSF-tau (containing the transmembrane domain) or a soluble mutant form of the molecule lacking the transmembrane domain ([s]M-CSF-alpha). COS-1 cells transfected with either cDNA released activity into the spent culture medium. Conditioned medium was separated by centrifugation into supernatants and pellets were found to contain plasma membrane-derived vesicles by transmission electron microscopy. When medium fractions were assayed in marrow cultures, activity was localized to shed plasma membrane-derived vesicles in medium conditioned by cells transfected with cDNA for M-CSF-tau and in the vesicle-free supernatants of medium conditioned by cells transfected with cDNA for [s]M-CSF-alpha. In addition, nuclear, mitochondrial, and plasma membrane subfractions of stably transfected cells were prepared and assayed for activity. Concentration-dependent stimulation of macrophage colony formation was observed with purified plasma membranes (but not nuclear or cytosolic proteins) from cells transfected with cDNA for M-CSF-tau. By contrast, membranes from untransfected cells and cells transfected with cDNA for [s]M-CSF-alpha or control DNA expressed no activity. Together, the data indicate that human M-CSF is expressed at the cell surface and exfoliated in association with surface membrane-derived vesicles. (C) 1994 by The American Society of Hematology.</t>
  </si>
  <si>
    <t>MCGILL UNIV, ROYAL VICTORIA HOSP, DEPT MED, DIV HEMATOL MED ONCOL, MONTREAL H3A 1A1, PQ, CANADA; UNIV CONNECTICUT, CTR HLTH, DEPT MED, FARMINGTON, CT USA; UNIV CONNECTICUT, CTR HLTH, DEPT PEDIAT DENT, FARMINGTON, CT USA; IMMUNEX CORP, DEPT MOLEC BIOL, SEATTLE, WA USA</t>
  </si>
  <si>
    <t>McGill University; Royal Victoria Hospital; University of Connecticut; University of Connecticut; Immunex Corporation</t>
  </si>
  <si>
    <t>0006-4971</t>
  </si>
  <si>
    <t>WOS:A1994PK12500015</t>
  </si>
  <si>
    <t>Cai, Y; Xu, MJ; Koritzinsky, EH; Zhou, Z; Wang, W; Cao, HX; Yuen, PST; Ross, RA; Star, RA; Liangpunsakul, S; Gao, B</t>
  </si>
  <si>
    <t>Cai, Yan; Xu, Ming-Jiang; Koritzinsky, Erik H.; Zhou, Zhou; Wang, Wei; Cao, Haixia; Yuen, Peter S. T.; Ross, Ruth A.; Star, Robert A.; Liangpunsakul, Suthat; Gao, Bin</t>
  </si>
  <si>
    <t>Mitochondrial DNA-enriched microparticles promote acute-on-chronic alcoholic neutrophilia and hepatotoxicity</t>
  </si>
  <si>
    <t>INFLAMMATORY EXTRACELLULAR VESICLES; LIVER-INJURY; DISEASE PATHOGENESIS; RELEASE; STEATOHEPATITIS; HEPATOCYTES; STRESS; MICE; INFILTRATION; ACTIVATION</t>
  </si>
  <si>
    <t>Over the last several years, one of the major advances in the field of alcoholic liver disease research was the discovery that binge alcohol consumption induced neutrophilia and hepatic neutrophil infiltration in chronically ethanol-fed mice and human subjects with excessive alcohol use (EAU); however, the underlying mechanisms remain obscure. Here, we demonstrated that chronic EAU patients with a history of recent excessive drinking (EAU + RD) had higher serum levels of mitochondrial DNA (mtDNA)-enriched microparticles (MPs) than EAU without recent drinking (EAU -RD) and healthy controls, which correlated positively with circulating neutrophils. Similarly, mice with chronic-plus-binge (E10d + 1B) ethanol feeding also had markedly elevated serum levels of mtDNA-enriched MPs, with activation of hepatic ER stress and inflammatory responses. Inhibition of ER stress by gene KO or inhibitors attenuated ethanol-induced elevation of mtDNA-enriched MPs, neutrophilia, and liver injury. The data from the study of hepatocyte-specific deletion of the protein kinase RNA-like ER kinase (Perk) gene in mice and of cultured hepatocytes demonstrated that hepatocytes were the main source of mtDNA-enriched MPs after ethanol feeding. Finally, administration of mtDNA-enriched MPs isolated from E10d+ 1B-fed mice caused neutrophilia in mice. In conclusion, E10d + 1B ethanol consumption activates hepatic ER stress-dependent mtDNA-enriched MP release, leading to neutrophilia and liver injury.</t>
  </si>
  <si>
    <t>[Cai, Yan; Xu, Ming-Jiang; Zhou, Zhou; Wang, Wei; Cao, Haixia; Gao, Bin] NIAAA, Lab Liver Dis, Bethesda, MD USA; [Koritzinsky, Erik H.; Yuen, Peter S. T.; Star, Robert A.] NIDDK, NIH, Renal Diagnost &amp; Therapeut Unit, Bethesda, MD USA; [Ross, Ruth A.; Liangpunsakul, Suthat] Indiana Univ Sch Med, Dept Med, Div Gastroenterol &amp; Hepatol, Indianapolis, IN 46202 USA; [Liangpunsakul, Suthat] Richard L Roudebush Vet Adm Med Ctr, Indianapolis, IN USA</t>
  </si>
  <si>
    <t>National Institutes of Health (NIH) - USA; NIH National Institute on Alcohol Abuse &amp; Alcoholism (NIAAA); National Institutes of Health (NIH) - USA; NIH National Institute of Diabetes &amp; Digestive &amp; Kidney Diseases (NIDDK); Indiana University System; Indiana University Bloomington; US Department of Veterans Affairs; Veterans Health Administration (VHA); Richard L. Roudebush VA Medical Center</t>
  </si>
  <si>
    <t>Gao, B (corresponding author), NIAAA, NIH, Lab Liver Dis, 5625 Fishers Lane, Bethesda, MD 20892 USA.</t>
  </si>
  <si>
    <t>bgao@mail.nih.gov</t>
  </si>
  <si>
    <t>Wang, Wei/C-4364-2019; ST Yuen, Peter/B-1954-2008</t>
  </si>
  <si>
    <t>ST Yuen, Peter/0000-0001-9557-3909; Cao, Hezhen/0000-0002-1331-2682; Xu, Ming-Jiang/0000-0003-4184-0797</t>
  </si>
  <si>
    <t>e92634</t>
  </si>
  <si>
    <t>10.1172/jci.insight.92634</t>
  </si>
  <si>
    <t>WOS:000405904800005</t>
  </si>
  <si>
    <t>Ambrosetti, E; Paoletti, P; Bosco, A; Parisse, P; Scaini, D; Tagliabue, E; de Marco, A; Casalis, L</t>
  </si>
  <si>
    <t>Ambrosetti, Elena; Paoletti, Pamela; Bosco, Alessandro; Parisse, Pietro; Scaini, Denis; Tagliabue, Elda; de Marco, Ario; Casalis, Loredana</t>
  </si>
  <si>
    <t>Quantification of Circulating Cancer Biomarkers via Sensitive Topographic Measurements on Single Binder Nanoarrays</t>
  </si>
  <si>
    <t>HER2 EXTRACELLULAR DOMAIN; DNA-DIRECTED IMMOBILIZATION; SELF-ASSEMBLED MONOLAYERS; BREAST-CANCER; CLINICAL UTILITY; LABEL-FREE; SERUM; AMPLIFICATION; HYBRIDIZATION; TRASTUZUMAB</t>
  </si>
  <si>
    <t>Early detection of cancer plays a crucial role in disease prognosis. It requires the recognition and quantification of low amounts of specific molecular biomarkers, either free or transported inside nanovesicles, through the development of novel sensitive diagnostic technologies. In this context, we have developed a nanoarray platform for the noninvasive quantification of cancer biomarkers circulating in the bloodstream. The assay is based on molecular manipulation to create functional spots of surface-immobilized binders and differential topography measurements. It is label-free and requires just a single binder per antigen, and when it is implemented with fluorescence labeling/readout, it can be used for epitope mapping. As a benchmark, we focused on the plasma release of Her2 extracellular domain (ECD), a proposed biomarker for the progression of Her2-positive tumors and response to anticancer therapies. By employing robust, easily engineered camelid nanobodies as binders, we measured ECD-Her2 concentrations in the range of the actual clinical cutoff value for Her2-positive breast cancer. The specificity for Her2 detection was preserved when it was measured in parallel with other potential biomarkers, demonstrating a forthcoming implementation of this approach for multiplexing analysis. Prospectively, this nanorarray platform may be customized to allow for the detection of promising new classes of circulating biomarkers, such as exosomes and microvesicles.</t>
  </si>
  <si>
    <t>[Ambrosetti, Elena; Paoletti, Pamela; Parisse, Pietro; Scaini, Denis; Casalis, Loredana] Elettra Sincrotone SCpA, NanoInnovat Lab, Ss 14 Km 163-5 Area Sci Pk, I-34149 Basovizza Trieste, Italy; [Ambrosetti, Elena; Scaini, Denis] Univ Trieste, PhD Sch Nanotechnol, Piazzale Europa 1, I-34127 Trieste, Italy; [Ambrosetti, Elena] INSTM ST Unit, Ss 14 Km 163-5 Area Sci Pk, I-34149 Basovizza Trieste, Italy; [Paoletti, Pamela] Int Sch Adv Studies SISSA, Via Bonomea 265, I-34136 Trieste, Italy; [Bosco, Alessandro] Karolinska Inst, Dept Med Biochem &amp; Biophys, S-17177 Stockholm, Sweden; [Tagliabue, Elda] Fdn IRCCS Ist Nazl Tumori, Dept Expt Oncol &amp; Mol Med, Via Amadeo 42, I-20133 Milan, Italy; [de Marco, Ario] Univ Nova Gorica, Ctr Biomed Sci &amp; Engn, Glavni Trg 8, Vipava 5271, Slovenia</t>
  </si>
  <si>
    <t>Elettra Sincrotrone Trieste; University of Trieste; International School for Advanced Studies (SISSA); Karolinska Institutet; Fondazione IRCCS Istituto Nazionale Tumori Milan; University of Nova Gorica</t>
  </si>
  <si>
    <t>Casalis, L (corresponding author), Elettra Sincrotone SCpA, NanoInnovat Lab, Ss 14 Km 163-5 Area Sci Pk, I-34149 Basovizza Trieste, Italy.</t>
  </si>
  <si>
    <t>loredana.casalis@elettra.eu</t>
  </si>
  <si>
    <t>Ambrosetti, Elena/AAM-7227-2021; Tagliabue, Elda/B-9377-2017; Parisse, P./AAJ-2246-2021</t>
  </si>
  <si>
    <t>Ambrosetti, Elena/0000-0002-4702-032X; Tagliabue, Elda/0000-0001-9877-2903; Parisse, P./0000-0002-7420-2778; Scaini, Denis/0000-0001-8398-8074</t>
  </si>
  <si>
    <t>10.1021/acsomega.7b00284</t>
  </si>
  <si>
    <t>WOS:000406385100029</t>
  </si>
  <si>
    <t>Song, S; Lee, JU; Jeon, MJ; Kim, S; Sim, SJ</t>
  </si>
  <si>
    <t>Song, Sojin; Lee, Jong Uk; Jeon, Myeong Jin; Kim, Soohyun; Sim, Sang Jun</t>
  </si>
  <si>
    <t>Detection of multiplex exosomal miRNAs for clinically accurate diagnosis of Alzheimer's disease using label-free plasmonic biosensor based on DNA-Assembled advanced plasmonic architecture</t>
  </si>
  <si>
    <t>Alzheimer's disease (AD); Exosomal miRNAs (exo-miRs); Gold nanoparticles (AuNPs); Plasmonic biosensors; Rayleigh scattering</t>
  </si>
  <si>
    <t>BIOMARKERS; DISCOVERY; DEVICES</t>
  </si>
  <si>
    <t>Alzheimer's disease (AD), the most common neurologic disorder, is characterized by progressive cognitive impairment. However, the low clinical significance of the currently used core AD biomarkers amyloid-beta and tau proteins remains a challenge. Recently, exosomes, found in human biological fluids, are gaining increasing attention because of their clinical significance in diagnosing of various diseases. In particular, blood-derived exosomal miRNAs are not only stable but also provide information regarding the different characteristics according to AD progression. However, quantitative and qualitative detection is difficult due to their characteristics, such as small size, low abundance, and high homology. Here, we present a DNA-assembled advanced plasmonic architecture (DAPA)-based plasmonic biosensor to accurately detect exosomal miRNAs in human serum. The designed nanoarchitecture possesses two narrow nanogaps that induce plasmon coupling; this significantly enhances its optical energy density, resulting in a 1.66-fold higher refractive-index (RI) sensitivity than nanorods at localized surface plasmon resonance (LSPR). Thus, the proposed biosensor is ultrasensitive and capable of selective single-nucleotide detection of exosomal miRNAs at the attomolar level. Furthermore, it identified AD patients from healthy controls by measuring the levels of exosomal miRNA-125b, miRNA-15a, and miRNA-361 in clinical serum samples. In particular, the combination of exosomal miRNA-125b and miRNA-361 showed the best diagnostic performance with a sensitivity of 91.67%, selectivity of 95.00%, and accuracy of 99.52%. These results demonstrate that our sensor can be clinically applied for AD diagnosis and has great potential to revolutionize the field of dementia research and treatment in the future.</t>
  </si>
  <si>
    <t>[Song, Sojin; Lee, Jong Uk; Jeon, Myeong Jin; Kim, Soohyun; Sim, Sang Jun] Korea Univ, Dept Chem &amp; Biol Engn, Seoul 02841, South Korea; [Lee, Jong Uk] Sunchon Natl Univ, Dept Chem Engn, Suncheon Si 57922, Jeollanam Do, South Korea</t>
  </si>
  <si>
    <t>Korea University; Sunchon National University</t>
  </si>
  <si>
    <t>Sim, SJ (corresponding author), Korea Univ, New Engn Bldg Room 716,Anam Ro 145, Seoul 02841, South Korea.</t>
  </si>
  <si>
    <t>simsj@korea.ac.kr</t>
  </si>
  <si>
    <t>10.1016/j.bios.2021.113864</t>
  </si>
  <si>
    <t>WOS:000729387400001</t>
  </si>
  <si>
    <t>Huang, Y; Yu, MS; Kuma, A; Klein, JD; Wang, YH; Hassounah, F; Cai, H; Wang, XH</t>
  </si>
  <si>
    <t>Huang, Ying; Yu, Manshu; Kuma, Akihiro; Klein, Janet D.; Wang, Yanhua; Hassounah, Faten; Cai, Hui; Wang, Xiaonan H.</t>
  </si>
  <si>
    <t>Downregulation of let-7 by Electrical Acupuncture Increases Protein Synthesis in Mice</t>
  </si>
  <si>
    <t>Acu; LFES; exosome; IGF-1 signaling; microRNA; mTOR; skeletal muscle</t>
  </si>
  <si>
    <t>GROWTH-FACTOR-I; MUSCLE ATROPHY; STIMULATION; MECHANISMS; EXPRESSION; MICRORNAS; STRENGTH; DISEASE; FAMILY; GENES</t>
  </si>
  <si>
    <t>Background Our previous study found that acupuncture with low frequency electrical stimulation (Acu/LFES) prevents muscle atrophy by attenuation of protein degradation in mice. The current study examines the impact of Acu/LFES on protein synthesis. Method C57/BL6 mice received Acu/LFES treatment on hindlimb for 30 min once. Acu/LFES points were selected by WHO Standard Acupuncture Nomenclature and electric stimulation applied using an SDZ-II Electronic acupuncture instrument. Muscle protein synthesis was measured by the surface-sensing of translation (SUnSET) assay. Exosomes were isolated using serial centrifugation and concentration and size of the collected exosomes were measured using a NanoSight instrument. The mature microRNA library in serum exosomes was validated using a High Sensitivity DNA chip. Results Protein synthesis was enhanced in the both hindlimb and forelimb muscles. Blocking exosome secretion with GW4869 decreased the Acu/LFES-induced increases in protein synthesis. MicroRNA-deep sequencing demonstrated that four members of the Let-7 miRNA family were significantly decreased in serum exosomes. Real time qPCR further verified Acu/LFES-mediated decreases of let-7c-5p in serum exosomes and skeletal muscles. In cultured C2C12 myotubes, inhibition of let-7c not only increased protein synthesis, but also enhanced protein abundance of Igf1 and Igf1 receptors. Using a luciferase reporter assay, we demonstrated that let-7 directly inhibits Igf1. Conclusion Acu/LFES on hindlimb decreases let-7-5p leading to upregulation of the Igf1 signaling and increasing protein synthesis in both hindlimb and forelimb skeletal muscles. This provides a new understanding of how the electrical acupuncture treatment can positively influence muscle health.</t>
  </si>
  <si>
    <t>[Huang, Ying; Yu, Manshu; Kuma, Akihiro; Klein, Janet D.; Wang, Yanhua; Hassounah, Faten; Cai, Hui; Wang, Xiaonan H.] Emory Univ, Dept Med, Renal Div, Atlanta, GA 30322 USA; [Huang, Ying] Cent South Univ, Dept Nephrol, Xiangya Hosp 2, Changsha, Peoples R China; [Yu, Manshu] Nanjing Univ Chinese Med, Renal Div, Affiliated Hosp, Nanjing, Peoples R China; [Kuma, Akihiro] Univ Occupat &amp; Environm Hlth, Sch Med, Dept Internal Med 2, Kitakyushu, Fukuoka, Japan; [Cai, Hui] Atlanta VA Med Ctr, Sect Nephrol, Decatur, GA 30033 USA</t>
  </si>
  <si>
    <t>Emory University; Central South University; Nanjing University of Chinese Medicine; University of Occupational &amp; Environmental Health - Japan; US Department of Veterans Affairs; Veterans Health Administration (VHA); Atlanta VA Health Care System; Atlanta VA Medical Center</t>
  </si>
  <si>
    <t>Cai, H; Wang, XH (corresponding author), Emory Univ, Dept Med, Renal Div, Atlanta, GA 30322 USA.;Cai, H (corresponding author), Atlanta VA Med Ctr, Sect Nephrol, Decatur, GA 30033 USA.</t>
  </si>
  <si>
    <t>hcai3@emory.edu; xwang03@emory.edu</t>
  </si>
  <si>
    <t>Kuma, Akihiro/AAT-7155-2020</t>
  </si>
  <si>
    <t>Kuma, Akihiro/0000-0002-4242-7921</t>
  </si>
  <si>
    <t>AUG 20</t>
  </si>
  <si>
    <t>10.3389/fphys.2021.697139</t>
  </si>
  <si>
    <t>WOS:000696585700001</t>
  </si>
  <si>
    <t>Yamamoto, S; Kaimori, JY; Yoshimura, T; Namba, T; Imai, A; Kobayashi, K; Imamura, R; Ichimaru, N; Kato, K; Nakaya, A; Takahara, S; Isaka, Y</t>
  </si>
  <si>
    <t>Yamamoto, Satoko; Kaimori, Jun-Ya; Yoshimura, Takuji; Namba, Tomoko; Imai, Atsuko; Kobayashi, Kaori; Imamura, Ryoichi; Ichimaru, Naotsugu; Kato, Kazuto; Nakaya, Akihiro; Takahara, Shiro; Isaka, Yoshitaka</t>
  </si>
  <si>
    <t>Analysis of an ADTKD family with a novel frameshift mutation in MUC1 reveals characteristic features of mutant MUC1 protein</t>
  </si>
  <si>
    <t>NEPHROLOGY DIALYSIS TRANSPLANTATION</t>
  </si>
  <si>
    <t>ADTKD; ADTKD-MUC1; frameshift mutation; MUC1; VNTR</t>
  </si>
  <si>
    <t>KIDNEY-DISEASE TYPE-1; TETHERED MUCINS; SEQUENCING DATA; GENE; REFINEMENT; EXOSOMES; ANEMIA; LOCUS; MCKD1</t>
  </si>
  <si>
    <t>Background. Medullary cystic kidney disease Type 1 is an autosomal dominant tubulointerstitial kidney disease (ADTKD). Recently, mucin 1 (MUC1) was identified as a causal gene of medullary cystic kidney disease (ADTKD-MUC1). However, the MUC1 mutation was found to be a single cytosine insertion in a single copy of the GC-rich variable number of tandem repeats (VNTRs), which are very difficult to analyze by next-generation sequencing. To date, other mutations have not been detected in ADTKD-MUC1, and the mutant MUC1 protein has not been analyzed because of the difficulty of genetically modifying the VNTR sequence. Methods. We conducted whole-exome analyses of an ADTKD family by next-generation sequencing. We also performed histopathological analyses of a renal biopsy from a pedigree family member. We constructed a mutant protein expression vector based on the patient genome sequence and characterized the nature of the mutant protein. Results. We found a novel frameshift mutation before the VNTR in the MUC1 gene. The resulting mutant MUC1 protein had a very similar amino acid sequence and predicted 3D structure to the previously reported mutant protein. Notably, the recombinant mutant MUC1 protein was trapped in the cytoplasm and appeared to self-aggregate. The patient native mutant protein was also found in urine exosomes. Conclusions. This novel frameshift mutation in the MUC1 gene and consequent mutant protein may contribute to the future discovery of the pathophysiology of ADTKD-MUC1. The mutant MUC1 protein in urine exosomes may be used for non-DNA-related diagnosis.</t>
  </si>
  <si>
    <t>[Yamamoto, Satoko; Kaimori, Jun-Ya; Namba, Tomoko; Isaka, Yoshitaka] Osaka Univ, Grad Sch Med, Dept Nephrol, Osaka, Japan; [Kaimori, Jun-Ya; Ichimaru, Naotsugu; Takahara, Shiro] Osaka Univ, Grad Sch Med, Dept Adv Technol Transplantat, Osaka, Japan; [Yoshimura, Takuji] Osaka Univ, Grad Sch Med, Inst Expt Anim Sci, Lab Reprod Engn, Osaka, Japan; [Imai, Atsuko; Kobayashi, Kaori; Nakaya, Akihiro] Osaka Univ, Grad Sch Med, Dept Genome Informat, Osaka, Japan; [Imai, Atsuko] Osaka Univ, Grad Sch Med, Dept Cardiovasc Med, Osaka, Japan; [Kobayashi, Kaori] NEC Corp Ltd, Med Solut Div, Tokyo, Japan; [Imamura, Ryoichi] Osaka Univ, Grad Sch Med, Dept Urol, Osaka, Japan; [Kato, Kazuto] Osaka Univ, Grad Sch Med, Dept Biomed Ethics &amp; Publ Policy, Osaka, Japan</t>
  </si>
  <si>
    <t>Osaka University; Osaka University; Osaka University; Osaka University; Osaka University; NEC Corporation; Osaka University; Osaka University</t>
  </si>
  <si>
    <t>Kaimori, JY (corresponding author), Osaka Univ, Grad Sch Med, Dept Nephrol, Osaka, Japan.;Kaimori, JY (corresponding author), Osaka Univ, Grad Sch Med, Dept Adv Technol Transplantat, Osaka, Japan.</t>
  </si>
  <si>
    <t>kaimori@kid.med.osaka-u.ac.jp</t>
  </si>
  <si>
    <t>Kato, Kazuto/0000-0001-9006-9551; Yoshimura, Takuji/0000-0002-7856-0679</t>
  </si>
  <si>
    <t>0931-0509</t>
  </si>
  <si>
    <t>1460-2385</t>
  </si>
  <si>
    <t>10.1093/ndt/gfx083</t>
  </si>
  <si>
    <t>Transplantation; Urology &amp; Nephrology</t>
  </si>
  <si>
    <t>WOS:000417201400009</t>
  </si>
  <si>
    <t>Chen, Y; Yuan, XJ; Li, YL; Chen, J; Wu, SN; Jiang, A; Miao, XF; Shu, Q</t>
  </si>
  <si>
    <t>Chen, Yi; Yuan, Xiaojian; Li, Yonglin; Chen, Jie; Wu, Shannan; Jiang, Amin; Miao, Xuefeng; Shu, Qiang</t>
  </si>
  <si>
    <t>Circulating exosomal microRNA-18a-5p accentuates intestinal inflammation in Hirschsprung-associated enterocolitis by targeting RORA</t>
  </si>
  <si>
    <t>Hirschsprung-associated enterocolitis; miR-18a-5p; RORA; SIRT1/NF kappa B; inflammation</t>
  </si>
  <si>
    <t>PATHOGENESIS; DIAGNOSIS; GENE</t>
  </si>
  <si>
    <t>The relevance of stem cell-derived exosomes has been implicated in necrotizing enterocolitis, while the involvement of serum-derived exosomes from children with Hirschsprung-associated enterocolitis (HAEC) in pathogenesis of HAEC remains unclear. This study set to identify the roles of exosomal microRNA (miR)-18a-5p from sera of HAEC patients in human-derived colonic epithelial NCM460 cells and in mice with HAEC. Exosomes were isolated from the sera of healthy children (Healthy-exo), patients with Hirschsprung's disease (HSCR) (HSCR-exo) or HAEC (HAEC-exo). A microarray analysis of miRNAs was implemented to assess the enrichment of miRNAs in these exosomes. HAEC-exo was significantly enriched in miR-18a-5p. HAEC-exo led to the generation of a pro-inflammatory microenvironment, inhibition of cellular DNA synthesis, and promotion of apoptosis in NCM460 cells. Mechanistically, miR-18a-5p targeted and repressed retinoid-related orphan receptor alpha (RORA) expression, thereby regulating the Sirtuin 1 (SIRT1)/nuclear factor-kappa B (NF kappa B) pathway. Overexpression of RORA ameliorated inflammatory damage in NCM460 cells caused by exosomal miR-18a-5p. HAEC-exo exacerbated inflammatory damage in HAEC mice, and this facilitation was reversed after RORA overexpression. Collectively, exosomal miR-18a-5p was a promoter of HAEC, which induces the intestine cell apoptosis and inflammatory responses through the inhibition of SIRT1/NF kappa B pathway by targeting RORA.</t>
  </si>
  <si>
    <t>[Chen, Yi] Yiwu Matern &amp; Children Hosp, Dept Nosocomial Infect, Jinhua 322000, Zhejiang, Peoples R China; [Yuan, Xiaojian] Zhejiang Univ, Sch Med, Dept Pediat, Hangzhou 310011, Zhejiang, Peoples R China; [Li, Yonglin; Wu, Shannan; Jiang, Amin; Miao, Xuefeng] Yiwu Matern &amp; Child Hlth Hosp, Dept Pediat Surg, Jinhua 322000, Zhejiang, Peoples R China; [Chen, Jie] Jiaxing Maternal &amp; Child Hlth Hosp, Dept Pediat Surg, Jiaxing 314051, Zhejiang, Peoples R China; [Shu, Qiang] Zhejiang Univ, Childrens Hosp, Dept Cardiothorac Surg, 3333 Binsheng Rd, Hangzhou 310000, Zhejiang, Peoples R China</t>
  </si>
  <si>
    <t>Zhejiang University; Zhejiang University</t>
  </si>
  <si>
    <t>Shu, Q (corresponding author), Zhejiang Univ, Childrens Hosp, Dept Cardiothorac Surg, 3333 Binsheng Rd, Hangzhou 310000, Zhejiang, Peoples R China.</t>
  </si>
  <si>
    <t>Shuqiang12111@126.com</t>
  </si>
  <si>
    <t>WOS:000657484100003</t>
  </si>
  <si>
    <t>Coco, S; Alama, A; Vanni, I; Fontana, V; Genova, C; Dal Bello, MG; Truini, A; Rijavec, E; Biello, F; Sini, C; Burrafato, G; Maggioni, C; Barletta, G; Grossi, F</t>
  </si>
  <si>
    <t>Coco, Simona; Alama, Angela; Vanni, Irene; Fontana, Vincenzo; Genova, Carlo; Dal Bello, Maria Giovanna; Truini, Anna; Rijavec, Erika; Biello, Federica; Sini, Claudio; Burrafato, Giovanni; Maggioni, Claudia; Barletta, Giulia; Grossi, Francesco</t>
  </si>
  <si>
    <t>Circulating Cell-Free DNA and Circulating Tumor Cells as Prognostic and Predictive Biomarkers in Advanced Non-Small Cell Lung Cancer Patients Treated with First-Line Chemotherapy</t>
  </si>
  <si>
    <t>liquid biopsy; circulating free DNA; circulating tumor cells; non-small cell lung cancer (NSCLC); biomarkers; chemotherapy</t>
  </si>
  <si>
    <t>METASTATIC BREAST-CANCER; ADVANCED NSCLC; NUCLEIC-ACIDS; PLASMA; HETEROGENEITY; SURVIVAL; PROGRESSION; DIAGNOSIS; EXOSOMES; CRITERIA</t>
  </si>
  <si>
    <t>Cell-free DNA (cfDNA) and circulating tumor cells (CTCs) are promising prognostic and predictive biomarkers in non-small cell lung cancer (NSCLC). In this study, we examined the prognostic role of cfDNA and CTCs, in separate and joint analyses, in NSCLC patients receiving first line chemotherapy. Seventy-three patients with advanced NSCLC were enrolled in this study. CfDNA and CTC were analyzed at baseline and after two cycles of chemotherapy. Plasma cfDNA quantification was performed by quantitative PCR (qPCR) whereas CTCs were isolated by the ScreenCell Cyto (ScreenCell, Paris, France) device and enumerated according to malignant features. Patients with baseline cfDNA higher than the median value (96.3 hTERT copy number) had a significantly worse overall survival (OS) and double the risk of death (hazard ratio (HR): 2.14; 95% confidence limits (CL) = 1.24-3.68; p-value = 0.006). Conversely, an inverse relationship between CTC median baseline number (6 CTC/3 mL of blood) and OS was observed. In addition, we found that in patients reporting stable disease (SD), the baseline cfDNA and CTCs were able to discriminate patients at high risk of poor survival. cfDNA demonstrated a more reliable biomarker than CTCs in the overall population. In the subgroup of SD patients, both biomarkers identified patients at high risk of poor prognosis who might deserve additional/alternative therapeutic interventions.</t>
  </si>
  <si>
    <t>[Coco, Simona; Alama, Angela; Vanni, Irene; Genova, Carlo; Dal Bello, Maria Giovanna; Truini, Anna; Rijavec, Erika; Biello, Federica; Sini, Claudio; Burrafato, Giovanni; Maggioni, Claudia; Barletta, Giulia; Grossi, Francesco] Ist Nazl Ric Canc, Lung Canc Unit, IST, IRCCS AOU San Martino, Lgo R Benzi 10, I-16132 Genoa, Italy; [Fontana, Vincenzo] Ist Nazl Ric Canc, Clin Epidemiol Unit, IST, IRCCS AOU San Martino, Lgo R Benzi 10, I-16132 Genoa, Italy; [Genova, Carlo; Truini, Anna] Univ Genoa, Ist Nazl Ric Canc, IRCCS AOU San Martino, Dept Internal Med &amp; Med Specialties DIMI,IST, Lgo R Benzi 10, I-16132 Genoa, Italy</t>
  </si>
  <si>
    <t>University of Genoa; IRCCS AOU San Martino IST; University of Genoa; IRCCS AOU San Martino IST; University of Genoa; IRCCS AOU San Martino IST</t>
  </si>
  <si>
    <t>Vanni, I (corresponding author), Ist Nazl Ric Canc, Lung Canc Unit, IST, IRCCS AOU San Martino, Lgo R Benzi 10, I-16132 Genoa, Italy.</t>
  </si>
  <si>
    <t>simona.coco@hsanmartino.it; angela.alama@hsanmartino.it; irene.vanni@hsanmartino.it; vincenzo.fontana@hsanmartino.it; carlo.genova1985@gmail.com; mariagiovanna.dalbello@hsanmartino.it; anna.truini@yale.edu; erika.rijavec@hsanmartino.it; febiello@gmail.com; audiosini@tiscali.it; g_burrafato@libero.it; claudia_87m@yahoo.it; giulia.barletta@yahoo.it; francesco.grossi@hsanmartino.it</t>
  </si>
  <si>
    <t>Genova, Carlo/J-8931-2016; Vanni, Irene/I-3122-2018; vanni, Irene/J-5792-2016; DAL BELLO, MARIA GIOVANNA/AAB-7901-2020; Coco, Simona/J-6051-2016; Biello, Federica/AAB-3666-2019; Alama, Angela/AAE-7203-2019; Truini, Anna/K-1901-2018; Grossi, Francesco/AAL-5024-2021</t>
  </si>
  <si>
    <t>Genova, Carlo/0000-0003-3690-8582; Vanni, Irene/0000-0001-5900-4880; vanni, Irene/0000-0001-5900-4880; DAL BELLO, MARIA GIOVANNA/0000-0002-4952-1873; Coco, Simona/0000-0002-5296-4325; Alama, Angela/0000-0002-9726-201X; Truini, Anna/0000-0002-4600-6497; Grossi, Francesco/0000-0001-8412-3136; BIELLO, FEDERICA/0000-0002-1360-989X</t>
  </si>
  <si>
    <t>10.3390/ijms18051035</t>
  </si>
  <si>
    <t>WOS:000404113900141</t>
  </si>
  <si>
    <t>Boudreau, LH; Duchez, AC; Cloutier, N; Soulet, D; Martin, N; Bollinger, J; Pare, A; Rousseau, M; Naika, GS; Levesque, T; Laflamme, C; Marcoux, G; Lambeau, G; Farndale, RW; Pouliot, M; Hamzeh-Cognasse, H; Cognasse, F; Garraud, O; Nigrovic, PA; Guderley, H; Lacroix, S; Thibault, L; Semple, JW; Gelb, MH; Boilard, E</t>
  </si>
  <si>
    <t>Boudreau, Luc H.; Duchez, Anne-Claire; Cloutier, Nathalie; Soulet, Denis; Martin, Nicolas; Bollinger, James; Pare, Alexandre; Rousseau, Matthieu; Naika, Gajendra S.; Levesque, Tania; Laflamme, Cynthia; Marcoux, Genevieve; Lambeau, Gerard; Farndale, Richard W.; Pouliot, Marc; Hamzeh-Cognasse, Hind; Cognasse, Fabrice; Garraud, Olivier; Nigrovic, Peter A.; Guderley, Helga; Lacroix, Steve; Thibault, Louis; Semple, John W.; Gelb, Michael H.; Boilard, Eric</t>
  </si>
  <si>
    <t>Platelets release mitochondria serving as substrate for bactericidal group IIA-secreted phospholipase A(2) to promote inflammation</t>
  </si>
  <si>
    <t>ACUTE LUNG INJURY; PLASMA; MICROPARTICLES; NEUTROPHIL; MEMBRANE; DNA; COMPONENTS; ARTHRITIS; VESICLES; NUCLEAR</t>
  </si>
  <si>
    <t>Mitochondrial DNA (mtDNA) is a highly potent inflammatory trigger and is reportedly found outside the cells in blood in various pathologies. Platelets are abundant in blood where they promote hemostasis. Although lacking a nucleus, platelets contain functional mitochondria. On activation, platelets produce extracellular vesicles known as microparticles. We hypothesized that activated platelets could also release their mitochondria. We show that activated platelets release respiratory-competent mitochondria, both within membrane-encapsulated microparticles and as free organelles. Extracellular mitochondria are found in platelet concentrates used for transfusion and are present at higher levels in those that induced acute reactions (febrile nonhemolytic reactions, skin manifestations, and cardiovascular events) in transfused patients. We establish that the mitochondrion is an endogenous substrate of secreted phospholipase A(2) IIA (sPLA(2)-IIA), a phospholipase otherwise specific for bacteria, likely reflecting the ancestral proteobacteria origin of mitochondria. The hydrolysis of the mitochondrialmembrane by sPLA(2)-IIA yields inflammatory mediators (ie, lysophospholipids, fatty acids, and mtDNA) that promote leukocyte activation. Two-photon microscopy in live transfused animals revealed that extracellular mitochondria interact with neutrophils in vivo, triggering neutrophil adhesion to the endothelial wall. Our findings identify extracellular mitochondria, produced by platelets, at the midpoint of a potent mechanism leading to inflammatory responses.</t>
  </si>
  <si>
    <t>[Boudreau, Luc H.; Duchez, Anne-Claire; Cloutier, Nathalie; Rousseau, Matthieu; Levesque, Tania; Laflamme, Cynthia; Marcoux, Genevieve; Pouliot, Marc; Boilard, Eric] Univ Laval, Fac Med, Ctr Hosp Univ Quebec, Dept Microbiol &amp; Immunol,Ctr Rech, Quebec City, PQ G1V 4G2, Canada; [Soulet, Denis; Pare, Alexandre; Lacroix, Steve] Univ Laval, Fac Med, Ctr Hosp Univ Quebec, Dept Psychiat &amp; Neurosci,Ctr Rech, Quebec City, PQ G1V 4G2, Canada; [Martin, Nicolas; Guderley, Helga] Univ Laval, Dept Biol, Quebec City, PQ G1V 4G2, Canada; [Bollinger, James; Naika, Gajendra S.; Gelb, Michael H.] Univ Washington, Dept Chem, Seattle, WA 98195 USA; [Lambeau, Gerard] Univ Nice Sophia Antipolis, CNRS, UMR 7275, Inst Pharmacol Mol &amp; Cellulaire, Valbonne, France; [Farndale, Richard W.] Univ Cambridge, Dept Biochem, Cambridge CB2 1QW, England; [Hamzeh-Cognasse, Hind; Cognasse, Fabrice; Garraud, Olivier] Etab Francais Sang Auvergne Loire, St Etienne, France; [Hamzeh-Cognasse, Hind; Cognasse, Fabrice; Garraud, Olivier] Univ Lyon, St Etienne, France; [Nigrovic, Peter A.] Brigham &amp; Womens Hosp, Div Rheumatol Immunol &amp; Allergy, Boston, MA 02115 USA; [Nigrovic, Peter A.] Harvard Univ, Sch Med, Boston Childrens Hosp, Div Immunol, Boston, MA USA; [Thibault, Louis] Hema Quebec, Res &amp; Dev, Quebec City, PQ, Canada; [Semple, John W.] St Michaels Hosp, Li Ka Shing Knowledge Inst, Keenan Res Ctr, Toronto, ON M5B 1W8, Canada</t>
  </si>
  <si>
    <t>Laval University; Laval University; Laval University; University of Washington; University of Washington Seattle; Centre National de la Recherche Scientifique (CNRS); CNRS - National Institute for Biology (INSB); UDICE-French Research Universities; Universite Cote d'Azur; University of Cambridge; Harvard University; Brigham &amp; Women's Hospital; Harvard University; Boston Children's Hospital; Hema-Quebec; University of Toronto; Li Ka Shing Knowledge Institute; Saint Michaels Hospital Toronto</t>
  </si>
  <si>
    <t>Boilard, E (corresponding author), Univ Laval, Fac Med, Ctr Hosp Univ Quebec, Ctr Rech Rhumatol &amp; Immunol,Ctr Rech, 2705 Laurier Blvd,Rm T1-49, Quebec City, PQ G1V 4G2, Canada.</t>
  </si>
  <si>
    <t>eric.boilard@crchuq.ulaval.ca</t>
  </si>
  <si>
    <t>Duchez, anne-claire/AAK-5041-2020; Soulet, Denis/P-4940-2019; Martin, Nicolas/N-9557-2014; Pouliot, Marc/G-4103-2016; Cognasse, Fabrice/Z-4401-2019; Rousseau, Matthieu/AAA-5385-2022; Semple, John W./Q-2513-2019</t>
  </si>
  <si>
    <t>Pouliot, Marc/0000-0002-2466-5424; Rousseau, Matthieu/0000-0002-2895-2957; Semple, John W./0000-0002-1510-0077; Lacroix, Steve/0000-0003-0781-6371; Boudreau, Luc H/0000-0002-3674-5026; Soulet, Denis/0000-0002-0937-7061; Lambeau, Gerard/0000-0002-9239-518X; Marcoux, Genevieve/0000-0003-4161-6234</t>
  </si>
  <si>
    <t>1528-0020</t>
  </si>
  <si>
    <t>10.1182/blood-2014-05-573543</t>
  </si>
  <si>
    <t>WOS:000342763900009</t>
  </si>
  <si>
    <t>Inoue, S; Takata, T; Nakazawa, Y; Nakamura, Y; Guo, X; Yamada, S; Ishigaki, Y; Takeuchi, M; Miyazawa, K</t>
  </si>
  <si>
    <t>Inoue, Shinya; Takata, Takanobu; Nakazawa, Yusuke; Nakamura, Yuka; Guo, Xin; Yamada, Sohsuke; Ishigaki, Yasuhito; Takeuchi, Masayoshi; Miyazawa, Katsuhito</t>
  </si>
  <si>
    <t>Potential of an Interorgan Network Mediated by Toxic Advanced Glycation End-Products in a Rat Model</t>
  </si>
  <si>
    <t>toxic advanced glycation end-products (TAGE); high-fructose corn syrup (HFCS); serum levels of TAGE; intracellular TAGE; lifestyle-related diseases (LSRD); kidney; microarray</t>
  </si>
  <si>
    <t>Excessive intake of glucose and fructose in beverages and foods containing high-fructose corn syrup (HFCS) plays a significant role in the progression of lifestyle-related diseases (LSRD). Glyceraldehyde-derived advanced glycation end-products (AGEs), which have been designated as toxic AGEs (TAGE), are involved in LSRD progression. Understanding of the mechanisms underlying the effects of TAGE on gene expression in the kidneys remains limited. In this study, DNA microarray analysis and quantitative real-time polymerase chain reaction (PCR) were used to investigate whether HFCS-consuming Wister rats generated increased intracellular serum TAGE levels, as well as the potential role of TAGE in liver and kidney dysfunction. HFCS consumption resulted in significant accumulation of TAGE in the serum and liver of rats, and induced changes in gene expression in the kidneys without TAGE accumulation or upregulation of receptor for AGEs (RAGE) upregulation. Changes in specific gene expression profiles in the kidney were more correlated with TAGE levels in the liver tissue than in the serum. These findings suggest a direct or indirect interaction may be present between the liver and kidneys that does not involve serum TAGE or RAGE. The involvement of internal signal transduction factors such as exosomes or cytokines without IL-1 beta and TNF-alpha is suggested to contribute to the observed changes in kidney gene expression.</t>
  </si>
  <si>
    <t>[Inoue, Shinya; Nakazawa, Yusuke; Miyazawa, Katsuhito] Kanazawa Med Univ, Dept Urol, Uchinada, Ishikawa 9200293, Japan; [Takata, Takanobu; Takeuchi, Masayoshi] Kanazawa Med Univ, Med Res Inst, Dept Adv Med, Uchinada, Ishikawa 9200293, Japan; [Nakamura, Yuka; Ishigaki, Yasuhito] Kanazawa Med Univ, Med Res Inst, Dept Life Sci, Div Mol &amp; Cell Biol, Uchinada, Ishikawa 9200293, Japan; [Guo, Xin; Yamada, Sohsuke] Kanazawa Med Univ, Dept Pathol &amp; Lab Med, Uchinada, Ishikawa 9200293, Japan</t>
  </si>
  <si>
    <t>Kanazawa Medical University; Kanazawa Medical University; Kanazawa Medical University; Kanazawa Medical University</t>
  </si>
  <si>
    <t>Inoue, S (corresponding author), Kanazawa Med Univ, Dept Urol, Uchinada, Ishikawa 9200293, Japan.</t>
  </si>
  <si>
    <t>s-inoue@kanazawa-med.ac.jp; takajjjj@kanazawa-med.ac.jp; nkzw-y@kanazawa-med.ac.jp; yuka-n@kanazawa-med.ac.jp; xinguo@kanazawa-med.ac.jp; sohsuke@kanazawa-med.ac.jp; ishigaki@kanazawa-med.ac.jp; takeuchi@kanazawa-med.ac.jp; miyazawa@kanazawa-med.ac.jp</t>
  </si>
  <si>
    <t>Yamada, Sohsuke/0000-0003-2662-0024; Takata, Takanobu/0000-0003-0514-8584; Inoue, Shinya/0000-0001-8639-6955; Nakazawa, Yususke/0000-0003-0703-3879; Ishigaki, Yasuhito/0000-0003-1012-8430; Takeuchi, Masayoshi/0000-0002-1057-3764</t>
  </si>
  <si>
    <t>10.3390/nu13010080</t>
  </si>
  <si>
    <t>WOS:000610648400001</t>
  </si>
  <si>
    <t>Shrivastava, S; Ray, RM; Holguin, L; Echavarria, L; Grepo, N; Scott, TA; Burnett, J; Morris, KV</t>
  </si>
  <si>
    <t>Shrivastava, Surya; Ray, Roslyn M.; Holguin, Leo; Echavarria, Lilliana; Grepo, Nicole; Scott, Tristan A.; Burnett, John; Morris, Kevin, V</t>
  </si>
  <si>
    <t>Exosome-mediated stable epigenetic repression of HIV-1</t>
  </si>
  <si>
    <t>CD4(+) T-CELLS; EXTRACELLULAR VESICLES; HISTONE METHYLATION; ACTIVATION; INFECTION; EXPRESSION; PLASMA; MICE</t>
  </si>
  <si>
    <t>Human Immunodeficiency Virus (HIV-1) produces a persistent latent infection. Control of HIV-1 using combination antiretroviral therapy (cART) comes at the cost of life-shortening side effects and development of drug-resistant HIV-1. An ideal and safer therapy should be deliverable in vivo and target the stable epigenetic repression of the virus, inducing a stable block and lock of virus expression. Towards this goal, we developed an HIV-1 promoter-targeting Zinc Finger Protein (ZFP-362) fused to active domains of DNA methyltransferase 3 A to induce long-term stable epigenetic repression of HIV-1. Cells were engineered to produce exosomes packaged with RNAs encoding this HIV-1 repressor protein. We find here that the repressor loaded anti-HIV-1 exosomes suppress virus expression and that this suppression is mechanistically driven by DNA methylation of HIV-1 in humanized NSG mouse models. The observations presented here pave the way for an exosome-mediated systemic delivery platform of therapeutic cargo to epigenetically repress HIV-1 infection. A strategy to control HIV-1 infection is to stably repress HIV-1 and induce deep latency. Here the authors show that a recombinant anti-HIV-1-1 protein can be packaged as mRNA into exosomes and delivered systemically to repress HIV-1-1 within the context of virus infected mice and achieve long term silencing of HIV-1-1 expression.</t>
  </si>
  <si>
    <t>[Shrivastava, Surya; Ray, Roslyn M.; Holguin, Leo; Echavarria, Lilliana; Grepo, Nicole; Scott, Tristan A.; Burnett, John; Morris, Kevin, V] City Hope Natl Med Ctr, Ctr Gene Therapy, Beckman Res Inst, Duarte, CA 91010 USA; [Burnett, John; Morris, Kevin, V] City Hope Natl Med Ctr, Hematol Malignancy &amp; Stem Cell Transplantat Inst, Duarte, CA 91010 USA; [Morris, Kevin, V] Griffith Univ, Menzies Hlth Inst Queensland, Sch Med Sci, Gold Coast Campus, Brisbane, Qld, Australia</t>
  </si>
  <si>
    <t>City of Hope; Beckman Research Institute of City of Hope; City of Hope; Griffith University; Menzies Health Institute Queensland</t>
  </si>
  <si>
    <t>Morris, KV (corresponding author), City Hope Natl Med Ctr, Ctr Gene Therapy, Beckman Res Inst, Duarte, CA 91010 USA.;Morris, KV (corresponding author), City Hope Natl Med Ctr, Hematol Malignancy &amp; Stem Cell Transplantat Inst, Duarte, CA 91010 USA.;Morris, KV (corresponding author), Griffith Univ, Menzies Hlth Inst Queensland, Sch Med Sci, Gold Coast Campus, Brisbane, Qld, Australia.</t>
  </si>
  <si>
    <t>kmorris@coh.org</t>
  </si>
  <si>
    <t>Shrivastava, Surya/AAD-2334-2021</t>
  </si>
  <si>
    <t>Shrivastava, Surya/0000-0003-0021-2751; Burnett, John/0000-0002-8817-6064; Scott, Tristan/0000-0002-7843-9609; Ray, Roslyn/0000-0001-6060-6969; HOLGUIN, LEO/0000-0002-8462-187X</t>
  </si>
  <si>
    <t>10.1038/s41467-021-25839-2</t>
  </si>
  <si>
    <t>WOS:000698606100001</t>
  </si>
  <si>
    <t>Lazaro, J; Claveria, P; Cabrejas, C; Fernando, J; Daga, B; Ordonez, B; Segura, S; Sanz-Rubio, D; Marin, JM</t>
  </si>
  <si>
    <t>Lazaro, Javier; Claveria, Paloma; Cabrejas, Carmen; Fernando, Jose; Daga, Berta; Ordonez, Beatriz; Segura, Silvia; Sanz-Rubio, David; Marin, Jose M.</t>
  </si>
  <si>
    <t>Epigenetics dysfunction in morbid obesity with or without obstructive sleep apnoea: the EPIMOOSA study</t>
  </si>
  <si>
    <t>RESPIRATORY RESEARCH</t>
  </si>
  <si>
    <t>Obstructive sleep apnoea; Morbid obesity; Epigenetics; Exosomes; Bariatric surgery; Continuous positive airway pressure</t>
  </si>
  <si>
    <t>POSITIVE AIRWAY PRESSURE; BODY-MASS INDEX; ENDOTHELIAL DYSFUNCTION; INTERMITTENT HYPOXEMIA; HOSPITAL ANXIETY; DNA METHYLATION; DEPRESSION; MICRORNAS; MORTALITY; CHILDREN</t>
  </si>
  <si>
    <t>Background Obstructive sleep apnoea (OSA) and morbid obesity (MO), defined by a body mass index &gt;= 35 kg/m(2), are two closely related conditions. Recent studies suggest that circulating microRNA (miRNA) plays a potential role in the physiopathology of both conditions. To date, circulating miRNA expression has been studied separately in both conditions, but never jointly. The primary treatment of OSA is continuous positive airway pressure (CPAP), whereas bariatric surgery (BS) is the treatment of choice for MO. We have thus initiated the Epigenetics modification in Morbid Obesity and Obstructive Sleep Apnoea (EPIMOOSA) study ( identifier: NCT03995836). Methods/design EPIMOOSA is a prospective non-interventional cohort study aiming to recruit 45 MO patients who are candidates for BS. Three groups will be formed: MO without OSA, MO with OSA without CPAP and MO with OSA and CPAP. All of them will be followed up in 4 visits: baseline, 6 months prior to BS and 3, 6 and 12 months post-BS. At baseline, OSA status will be assessed by home sleep polygraphy (HSP), and CPAP will be adopted according to national guidelines. A specific standardized questionnaire (including medical conditions and AOS-related symptoms) and anthropometrical examination will be performed at each visit. Blood samples will be obtained at each visit for immediate standard biochemistry, haematology and inflammatory cytokines. For bio-banking, serum, plasma, and circulating exosomes will also be obtained. Twenty-four hours of blood pressure and electrocardiogram (ECG) Holter monitoring will be performed at all visits. A new HSP will be performed at the last visit. Finally, the three groups will be sex- and age- matched with participants in the EPIOSA study, an ongoing study aimed at understanding epigenetic changes in non-obese OSA patients. Discussion EPIMOOSA will evaluate changes in circulating miRNA in MO with or without OSA for the first time. In addition, EPIMOOSA will be able to elucidate the influence of OSA in MO patients and how specific and combined treatments alter miRNA expression.</t>
  </si>
  <si>
    <t>[Lazaro, Javier; Claveria, Paloma; Segura, Silvia] Hosp Royo Villanova, Resp Serv, Avda San Gregorio, Zaragoza 50015, Spain; [Cabrejas, Carmen] Hosp Clin Lozano Blesa, Endocrinol &amp; Nutr Serv, Zaragoza, Spain; [Fernando, Jose] Hosp Royo Villanova, Bariatr Surg Unit, Zaragoza, Spain; [Daga, Berta; Ordonez, Beatriz] Hosp Royo Villanova, Serv Cardiol, Zaragoza, Spain; [Sanz-Rubio, David; Marin, Jose M.] Hosp Univ Miguel Servet, Translat Res Unit, IIS Aragon, Zaragoza, Spain; [Sanz-Rubio, David; Marin, Jose M.] CIBER Enfermedades Resp, Madrid, Spain; [Marin, Jose M.] Univ Zaragoza, Dept Med, Zaragoza, Spain</t>
  </si>
  <si>
    <t>Lozano Blesa University Clinical Hospital; Miguel Servet University Hospital; CIBER - Centro de Investigacion Biomedica en Red; CIBERES; University of Zaragoza</t>
  </si>
  <si>
    <t>Lazaro, J (corresponding author), Hosp Royo Villanova, Resp Serv, Avda San Gregorio, Zaragoza 50015, Spain.</t>
  </si>
  <si>
    <t>javilazarosdr@gmail.com</t>
  </si>
  <si>
    <t>Rubio, David Sanz/AAJ-6427-2021</t>
  </si>
  <si>
    <t>Rubio, David Sanz/0000-0002-5228-248X; LAZARO SIERRA, JAVIER/0000-0002-0474-2496</t>
  </si>
  <si>
    <t>1465-993X</t>
  </si>
  <si>
    <t>10.1186/s12931-020-1302-9</t>
  </si>
  <si>
    <t>Respiratory System</t>
  </si>
  <si>
    <t>WOS:000513644200001</t>
  </si>
  <si>
    <t>Thiam, HR; Wong, SL; Qiu, R; Kittisopikul, M; Vahabikashi, A; Goldman, AE; Goldman, RD; Wagner, DD; Waterman, CM</t>
  </si>
  <si>
    <t>Thiam, Hawa Racine; Wong, Siu Ling; Qiu, Rong; Kittisopikul, Mark; Vahabikashi, Amir; Goldman, Anne E.; Goldman, Robert D.; Wagner, Denisa D.; Waterman, Clare M.</t>
  </si>
  <si>
    <t>NETosis proceeds by cytoskeleton and endomembrane disassembly and PAD4-mediated chromatin decondensation and nuclear envelope rupture</t>
  </si>
  <si>
    <t>neutrophil; innate immunity; microscopy</t>
  </si>
  <si>
    <t>NEUTROPHIL EXTRACELLULAR TRAPS; CELL-DEATH; DNA TRAPS; PHOSPHORYLATION; VIMENTIN; ACTIN; PAD4; DIFFERENTIATION; MICROPARTICLES; ELASTASE</t>
  </si>
  <si>
    <t>Neutrophil extracellular traps (NETs) are web-like DNA structures decorated with histones and cytotoxic proteins that are released by activated neutrophils to trap and neutralize pathogens during the innate immune response, but also form in and exacerbate sterile inflammation. Peptidylarginine deiminase 4 (PAD4) citrullinates histones and is required for NET formation (NETosis) in mouse neutrophils. While the in vivo impact of NETs is accumulating, the cellular events driving NETosis and the role of PAD4 in these events are unclear. We performed high-resolution time-lapse microscopy of mouse and human neutrophils and differentiated HL-60 neutrophil-like cells (dHL-60) labeled with fluorescent markers of organelles and stimulated with bacterial toxins or Candida albicans to induce NETosis. Upon stimulation, cells exhibited rapid disassembly of the actin cytoskeleton, followed by shedding of plasma membrane microvesicles, disassembly and remodeling of the microtubule and vimentin cytoskeletons, ER vesiculation, chromatin decondensation and nuclear rounding, progressive plasma membrane and nuclear envelope ( NE) permeabilization, nuclear lamin meshwork and then NE rupture to release DNA into the cytoplasm, and finally plasma membrane rupture and discharge of extracellular DNA. Inhibition of actin disassembly blocked NET release. Mouse and dHL-60 cells bearing genetic alteration of PAD4 showed that chromatin decondensation, lamin meshwork and NE rupture and extracellular DNA release required the enzymatic and nuclear localization activities of PAD4. Thus, NETosis proceeds by a step-wise sequence of cellular events culminating in the PAD4-mediated expulsion of DNA.</t>
  </si>
  <si>
    <t>[Thiam, Hawa Racine; Waterman, Clare M.] NHLBI, Cell &amp; Dev Biol Ctr, NIH, Bldg 10, Bethesda, MD 20892 USA; [Wong, Siu Ling; Wagner, Denisa D.] Boston Childrens Hosp, Program Cellular &amp; Mol Med, Boston, MA 02115 USA; [Wong, Siu Ling; Wagner, Denisa D.] Harvard Med Sch, Dept Pediat, Boston, MA 02115 USA; [Qiu, Rong; Kittisopikul, Mark; Vahabikashi, Amir; Goldman, Anne E.; Goldman, Robert D.] Northwestern Univ, Dept Cell &amp; Mol Biol, Feinberg Sch Med, Chicago, IL 60611 USA; [Kittisopikul, Mark] Univ Texas Southwestern Med Ctr Dallas, Dept Biophys, Dallas, TX 75390 USA; [Wagner, Denisa D.] Boston Childrens Hosp, Div Hematol Oncol, Boston, MA 02115 USA; [Wong, Siu Ling] Nanyang Technol Univ, Lee Kong Chian Sch Med, Singapore 308232, Singapore</t>
  </si>
  <si>
    <t>National Institutes of Health (NIH) - USA; NIH National Heart Lung &amp; Blood Institute (NHLBI); Harvard University; Boston Children's Hospital; Program in Cellular &amp; Molecular Medicine (PCMM); Harvard University; Harvard Medical School; Northwestern University; Feinberg School of Medicine; University of Texas System; University of Texas Southwestern Medical Center Dallas; Harvard University; Boston Children's Hospital; Nanyang Technological University &amp; National Institute of Education (NIE) Singapore; Nanyang Technological University</t>
  </si>
  <si>
    <t>Waterman, CM (corresponding author), NHLBI, Cell &amp; Dev Biol Ctr, NIH, Bldg 10, Bethesda, MD 20892 USA.</t>
  </si>
  <si>
    <t>watermancm@nhlbi.nih.gov</t>
  </si>
  <si>
    <t>Thiam, Hawa Racine/AAY-4658-2021; Thiam, Hawa Racine/AAQ-2006-2020</t>
  </si>
  <si>
    <t>Thiam, Hawa Racine/0000-0002-2381-1442; Vahabikashi, Amir/0000-0002-5713-0231; Kittisopikul, Mark/0000-0002-9558-6248; Wong, Siu Ling/0000-0002-2294-3187</t>
  </si>
  <si>
    <t>10.1073/pnas.1909546117</t>
  </si>
  <si>
    <t>WOS:000523188100054</t>
  </si>
  <si>
    <t>Schneegans, S; Luck, L; Besler, K; Bluhm, L; Stadler, JC; Staub, J; Greinert, R; Volkmer, B; Kubista, M; Gebhardt, C; Sartori, A; Irwin, D; Serkkola, E; Hallstrom, T; Lianidou, E; Sprenger-Haussels, M; Hussong, M; Mohr, P; Schneider, SW; Shaffer, J; Pantel, K; Wikman, H</t>
  </si>
  <si>
    <t>Schneegans, Svenja; Lueck, Lelia; Besler, Katharina; Bluhm, Leonie; Stadler, Julia-Christina; Staub, Janina; Greinert, Ruediger; Volkmer, Beate; Kubista, Mikael; Gebhardt, Christoffer; Sartori, Alexander; Irwin, Darryl; Serkkola, Elina; Hallstrom, Taija; Lianidou, Evi; Sprenger-Haussels, Markus; Hussong, Melanie; Mohr, Peter; Schneider, Stefan W.; Shaffer, Jonathan; Pantel, Klaus; Wikman, Harriet</t>
  </si>
  <si>
    <t>Pre-analytical factors affecting the establishment of a single tube assay for multiparameter liquid biopsy detection in melanoma patients</t>
  </si>
  <si>
    <t>CTC; ctDNA; EV; liquid biopsy; melanoma; miRNA</t>
  </si>
  <si>
    <t>CIRCULATING TUMOR-CELLS; CANCER; DNA; MICRORNAS; NORMALIZATION; HETEROGENEITY; COLLECTION; EXPRESSION</t>
  </si>
  <si>
    <t>The combination of liquid biomarkers from a single blood tube can provide more comprehensive information on tumor development and progression in cancer patients compared to single analysis. Here, we evaluated whether a combined analysis of circulating tumor cells (CTCs), circulating tumor DNA (ctDNA), and circulating cell-free microRNA (miRNA) in total plasma and extracellular vesicles (EV) from the same blood sample is feasible and how the results are influenced by the choice of different blood tubes. Peripheral blood from 20 stage IV melanoma patients and five healthy donors (HD) was collected in EDTA, Streck, and Transfix tubes. Peripheral blood mononuclear cell fraction was used for CTC analysis, whereas plasma and EV fractions were used for ctDNA mutation and miRNA analysis. Mutations in cell-free circulating DNA were detected in 67% of patients, with no significant difference between the tubes. CTC was detected in only EDTA blood and only in 15% of patients. miRNA NGS (next-generation sequencing) results were highly influenced by the collection tubes and could only be performed from EDTA and Streck tubes due to hemolysis in Transfix tubes. No overlap of significantly differentially expressed miRNA (patients versus HD) could be found between the tubes in total plasma, whereas eight miRNA were commonly differentially regulated in the EV fraction. In summary, high-quality CTCs, ctDNA, and miRNA data from a single blood tube can be obtained. However, the choice of blood collection tubes is a critical pre-analytical variable.</t>
  </si>
  <si>
    <t>[Schneegans, Svenja; Lueck, Lelia; Besler, Katharina; Stadler, Julia-Christina; Pantel, Klaus; Wikman, Harriet] Univ Med Ctr Hamburg Eppendorf, Dept Tumor Biol, Martinistr 52, D-20246 Hamburg, Germany; [Bluhm, Leonie; Greinert, Ruediger; Volkmer, Beate; Mohr, Peter] Elbe Clin, Ctr Dermatol, Buxtehude, Germany; [Stadler, Julia-Christina; Staub, Janina; Gebhardt, Christoffer; Schneider, Stefan W.] Univ Med Ctr Hamburg Eppendorf, Dept Dermatol &amp; Venereol, Hamburg, Germany; [Kubista, Mikael] TATAA Bioctr AB, Gothenburg, Sweden; [Kubista, Mikael] Czech Acad Sci, Inst Biotechnol, Dept Gene Express, Vestec, Czech Republic; [Sartori, Alexander; Irwin, Darryl] Agena Biosci GmbH, Hamburg, Germany; [Serkkola, Elina; Hallstrom, Taija] Orion Corp, Orion Pharma, Espoo, Finland; [Lianidou, Evi] Univ Athens, Dept Chem, Lab Analyt Chem, Anal Circulating Tumor Cells, Athens, Greece; [Sprenger-Haussels, Markus; Hussong, Melanie; Shaffer, Jonathan] QIAGEN Inc GmbH, Frederick, MD USA; [Sprenger-Haussels, Markus; Hussong, Melanie; Shaffer, Jonathan] QIAGEN Inc GmbH, Hilden, Germany</t>
  </si>
  <si>
    <t>University of Hamburg; University Medical Center Hamburg-Eppendorf; University of Hamburg; University Medical Center Hamburg-Eppendorf; Czech Academy of Sciences; Institute of Biotechnology of the Czech Academy of Sciences; Orion Corporation; National &amp; Kapodistrian University of Athens; QIAGEN GmbH</t>
  </si>
  <si>
    <t>Wikman, H (corresponding author), Univ Med Ctr Hamburg Eppendorf, Dept Tumor Biol, Martinistr 52, D-20246 Hamburg, Germany.</t>
  </si>
  <si>
    <t>h.wikman@uke.de</t>
  </si>
  <si>
    <t>Kubista, Mikael/A-5689-2008</t>
  </si>
  <si>
    <t>Kubista, Mikael/0000-0002-2940-352X; Lianidou, Evi/0000-0002-7796-5914; Schneegans, Svenja/0000-0002-2684-790X; Volkmer, Beate/0000-0001-9218-8650; Gebhardt, Christoffer/0000-0001-7090-9584</t>
  </si>
  <si>
    <t>10.1002/1878-0261.12669</t>
  </si>
  <si>
    <t>APR 2020</t>
  </si>
  <si>
    <t>WOS:000523630900001</t>
  </si>
  <si>
    <t>Xu, H; Fang, MD; Li, C; Zuo, BW; Ren, J; Zhang, YM</t>
  </si>
  <si>
    <t>Xu, Hao; Fang, Mengdie; Li, Chao; Zuo, Bowen; Ren, Juan; Zhang, Yanmei</t>
  </si>
  <si>
    <t>BORIS-mediated generation of circular RNAs induces inflammation</t>
  </si>
  <si>
    <t>TRANSLATIONAL ONCOLOGY</t>
  </si>
  <si>
    <t>Circular RNA; BORIS; RNA and DNA binding motif; inflammation; circRNA vaccine</t>
  </si>
  <si>
    <t>DOMAIN; CTCF</t>
  </si>
  <si>
    <t>Circular RNAs (circRNAs), which are more stable than linear mRNAs and long non-coding RNAs (LncRNAs), are detected in body fluids such as plasma, serum, and exosomes. Disease-associated circRNAs have significant clinical roles due to their diagnostic and prognostic values. Brother of regulator of imprinting site (BORIS) promotes cancer progression and is specifically highly expressed in the majority of carcinoma. However, the mechanism underlying the regulation of circRNAs by the oncoprotein BORIS and their role in regulating inflammation and immunity remain to be further explored. Vaccines prepared from circRNAs extracted from cancer cells showed that circRNAs induced inflammation and prevented cancer progression. Serum from animals injected with cancer cell-derived circRNAs vigorously reacted with cells that expressed cancer-specific antigen BORIS or cancer extracted circRNAs. It has been implicated that cancer-related circRNAs could be used as antigens to activate immune responses to prevent cancers and stimulate NF-kappa B signaling pathway by up-regulating and inducing TLR3. In the study we also found that BORIS regulated the expression of circRNAs and interacted with RNA motifs and the CCCTC binding factor (CTCF) motif adjacent to circRNA splicing sites to enhance the formation of circRNAs. Thus, our study delineated the novel mechanism by which cancer-specific antigen BORIS regulated circRNAs and identified that circRNAs could serve as a vaccine for cancer prevention.</t>
  </si>
  <si>
    <t>[Xu, Hao; Fang, Mengdie; Li, Chao; Zuo, Bowen; Ren, Juan; Zhang, Yanmei] Hangzhou Med Coll, Sch Lab Med &amp; Bioengn, Hangzhou 310013, Peoples R China</t>
  </si>
  <si>
    <t>Hangzhou Medical College</t>
  </si>
  <si>
    <t>Zhang, YM (corresponding author), Hangzhou Med Coll, Sch Lab Med &amp; Bioengn, Hangzhou 310013, Peoples R China.</t>
  </si>
  <si>
    <t>yanmeizhang@hmc.edu.cn</t>
  </si>
  <si>
    <t>1936-5233</t>
  </si>
  <si>
    <t>10.1016/j.tranon.2022.101363</t>
  </si>
  <si>
    <t>WOS:000820837800002</t>
  </si>
  <si>
    <t>Liu, BY; Zhang, RP; Zhu, YG; Hao, RS</t>
  </si>
  <si>
    <t>Liu, Boyang; Zhang, Ruiping; Zhu, Yungang; Hao, Ruisheng</t>
  </si>
  <si>
    <t>Exosome-derived microRNA-433 inhibits tumorigenesis through incremental infiltration of CD4 and CD8 cells in non-small cell lung cancer</t>
  </si>
  <si>
    <t>exosome; microRNA-433; transmembrane p24 trafficking protein 5; non-small cell lung cancer; T-cell infiltration; Wnt; beta-catenin</t>
  </si>
  <si>
    <t>DOWN-REGULATION; PROLIFERATION; INVASION; PROGRESSION; CARCINOMA; MIR-433; MIRNA; DEREGULATION; MIGRATION</t>
  </si>
  <si>
    <t>Tumor-derived exosomal microRNAs (miRNAs/miRs) serve a vital biological role in tumorigenesis and development, but the effects and underlying mechanisms remain unclear. To explore the impact of exosomal miR-433 in non-small cell lung cancer (NSCLC) and understand its mechanism of action in NSCLC progression, the present study isolated the exosomes from the plasma of patients with NSCLC after chemotherapy and found that miR-433 expression was lower in plasma of patients with resistant NSCLC compared with in plasma of patients with sensitive NSCLC and in normal serum. Additionally, miR-433 expression was markedly negatively associated with a large tumor size, distant metastasis, advanced TNM stage and a poor prognosis in patients with NSCLC. miR-433 inhibited tumor growth by blocking the cell cycle in vitro and in vivo, as well as by promoting apoptosis and T-cell infiltration in the tumor microenvironment. Additionally, miR-433 inhibited chemoresistance to cisplatin by regulating DNA damage. Moreover, miR-433 inactivated the WNT/beta-catenin signaling pathway by targeting transmembrane p24 trafficking protein 5 in NSCLC. Overall, the current findings may provide a potential prognostic biomarker and therapeutic target for patients with NSCLC.</t>
  </si>
  <si>
    <t>[Liu, Boyang; Hao, Ruisheng] Tianjin Med Univ Canc Inst &amp; Hosp, Key Lab Canc Prevent &amp; Therapy, Tianjins Clin Res Ctr Canc, Natl Clin Res Ctr Canc,Dept Radiat, 5 Huanhu West Rd, Tianjin 300060, Peoples R China; [Zhang, Ruiping] Tianjin Med Univ Canc Inst &amp; Hosp, Key Lab Canc Prevent &amp; Therapy, Tianjins Clin Res Ctr Canc, Natl Clin Res Ctr Canc,Dept Radiat Oncol, Tianjin 300060, Peoples R China; [Zhu, Yungang] Tianjin Teda Hosp, Dept Radiat Oncol, Tianjin 300457, Peoples R China</t>
  </si>
  <si>
    <t>Tianjin Medical University; Tianjin Medical University</t>
  </si>
  <si>
    <t>Liu, BY (corresponding author), Tianjin Med Univ Canc Inst &amp; Hosp, Key Lab Canc Prevent &amp; Therapy, Tianjins Clin Res Ctr Canc, Natl Clin Res Ctr Canc,Dept Radiat, 5 Huanhu West Rd, Tianjin 300060, Peoples R China.</t>
  </si>
  <si>
    <t>boyang_tjtumor@163.com</t>
  </si>
  <si>
    <t>10.3892/ol.2021.12868</t>
  </si>
  <si>
    <t>WOS:000667259000001</t>
  </si>
  <si>
    <t>Philley, JV; Kannan, A; Qin, WY; Sauter, ER; Ikebe, M; Hertweck, KL; Troyer, DA; Semmes, OJ; Dasgupta, S</t>
  </si>
  <si>
    <t>Philley, Julie V.; Kannan, Anbarasu; Qin, Wenyi; Sauter, Edward R.; Ikebe, Mitsuo; Hertweck, Kate L.; Troyer, Dean A.; Semmes, Oliver J.; Dasgupta, Santanu</t>
  </si>
  <si>
    <t>Complex-I Alteration and Enhanced Mitochondrial Fusion Are Associated With Prostate Cancer Progression</t>
  </si>
  <si>
    <t>JOURNAL OF CELLULAR PHYSIOLOGY</t>
  </si>
  <si>
    <t>ACTIVE SURVEILLANCE; DNA MUTATIONS; STEM-CELLS; EXOSOMES; BIOGENESIS; ROLES; PROLIFERATION; APOPTOSIS; DEPLETION; FISSION</t>
  </si>
  <si>
    <t>Mitochondria (mt) encoded respiratory complex-I (RCI) mutations and their pathogenicity remain largely unknown in prostate cancer (PCa). Little is known about the role of mtDNA loss on mt integrity in PCa. We determined mtDNA mutation in human and mice PCa and assessed the impact of mtDNA depletion on mt integrity. We also examined whether the circulating exosomes from PCa patients are transported to mt and carry mtDNA or mt proteins. We have employed next generation sequencing of the whole mt genome in human and Hi-myc PCa. The impact of mtDNA depletion on mt integrity, presence of mtDNA, and protein in sera exosomes was determined. A co-culture of human PCa cells and the circulating exosomes followed by confocal imaging determined co-localization of exosomes and mt. We observed frequent RCI mutations in human and Hi-myc PCa which disrupted corresponding complex protein expression. Depletion of mtDNA in PCa cells influenced mt integrity, increased expression of MFN1, MFN2, PINK1, and decreased expression of MT-TFA. Increased mt fusion and expression of PINK1 and DNM1L were also evident in the Hi-myc tumors. RCI-mtDNA, MFN2, and IMMT proteins were detected in the circulating exosomes of men with benign prostate hyperplasia (BPH) and progressive PCa. Circulating exosomes and mt co-localized in PCa cells. Our study identified new pathogenic RCI mutations in PCa and defined the impact of mtDNA loss on mt integrity. Presence of mtDNA and mt proteins in the circulating exosomes implicated their usefulness for biomarker development. (c) 2015 Wiley Periodicals, Inc</t>
  </si>
  <si>
    <t>[Philley, Julie V.] Univ Texas Tyler, Hlth Sci Ctr, Dept Med, Tyler, TX 75799 USA; [Kannan, Anbarasu; Ikebe, Mitsuo; Dasgupta, Santanu] Univ Texas Tyler, Dept Cellular &amp; Mol Biol, Hlth Sci Ctr, Tyler, TX 75799 USA; [Qin, Wenyi; Sauter, Edward R.] Univ Texas Tyler, Dept Surg, Hlth Sci Ctr, Tyler, TX 75799 USA; [Hertweck, Kate L.] Univ Texas Tyler, Dept Biol, Tyler, TX 75799 USA; [Troyer, Dean A.; Semmes, Oliver J.] Eastern Virginia Med Sch, Dept Microbiol &amp; Mol Cell Biol, Norfolk, VA 23501 USA</t>
  </si>
  <si>
    <t>University of Texas System; University of Texas at Tyler; University of Texas-Health Sciences Center at Tyler (UTHSCT); University of Texas System; University of Texas at Tyler; University of Texas-Health Sciences Center at Tyler (UTHSCT); University of Texas System; University of Texas at Tyler; University of Texas-Health Sciences Center at Tyler (UTHSCT); University of Texas System; University of Texas at Tyler; Eastern Virginia Medical School</t>
  </si>
  <si>
    <t>Dasgupta, S (corresponding author), Univ Texas Tyler, Dept Cellular &amp; Mol Biol, Hlth Sci Ctr, Tyler, TX 75799 USA.</t>
  </si>
  <si>
    <t>santanu.dasgupta@uthct.edu</t>
  </si>
  <si>
    <t>Hertweck, Kate/0000-0002-4026-4612</t>
  </si>
  <si>
    <t>0021-9541</t>
  </si>
  <si>
    <t>1097-4652</t>
  </si>
  <si>
    <t>10.1002/jcp.25240</t>
  </si>
  <si>
    <t>WOS:000370736600019</t>
  </si>
  <si>
    <t>Mann, J; Reeves, HL; Feldstein, AE</t>
  </si>
  <si>
    <t>Mann, Jelena; Reeves, Helen L.; Feldstein, Ariel E.</t>
  </si>
  <si>
    <t>Liquid biopsy for liver diseases</t>
  </si>
  <si>
    <t>GUT</t>
  </si>
  <si>
    <t>CIRCULATING TUMOR-CELLS; HEPATOCELLULAR-CARCINOMA; EXTRACELLULAR VESICLES; PROMOTER METHYLATION; EARLY RECURRENCE; DNA METHYLATION; BIOMARKERS; PLASMA; MICRORNAS; MICROPARTICLES</t>
  </si>
  <si>
    <t>With the growing number of novel therapeutic approaches for liver diseases, significant research efforts have been devoted to the development of liquid biopsy tools for precision medicine. This can be defined as non-invasive reliable biomarkers that can supplement and eventually replace the invasive liver biopsy for diagnosis, disease stratification and monitoring of response to therapeutic interventions. Similarly, detection of liver cancer at an earlier stage of the disease, potentially susceptible to curative resection, can be critical to improve patient survival. Circulating extracellular vesicles, nucleic acids (DNA and RNA) and tumour cells have emerged as attractive liquid biopsy candidates because they fulfil many of the key characteristics of an ideal biomarker. In this review, we summarise the currently available information regarding these promising and potential transformative tools, as well as the issues still needed to be addressed for adopting various liquid biopsy approaches into clinical practice. These studies may pave the way to the development of a new generation of reliable, mechanism-based disease biomarkers.</t>
  </si>
  <si>
    <t>[Mann, Jelena] Newcastle Univ, Fac Med Sci, Inst Cellular Med, Newcastle Fibrosis Res Grp, Newcastle Upon Tyne, Tyne &amp; Wear, England; [Reeves, Helen L.] Newcastle Univ, Northern Inst Canc Res, Newcastle Upon Tyne, Tyne &amp; Wear, England; [Feldstein, Ariel E.] Univ Calif San Diego, Dept Pediat, San Diego, CA 92103 USA</t>
  </si>
  <si>
    <t>Newcastle University - UK; Newcastle University - UK; University of California System; University of California San Diego</t>
  </si>
  <si>
    <t>Feldstein, AE (corresponding author), Univ Calif San Diego, Div Pediat Gastroenterol Hepatol &amp; Nutr, San Diego, CA 92103 USA.</t>
  </si>
  <si>
    <t>afeldstein@ucsd.edu</t>
  </si>
  <si>
    <t>Reeves, Helen/0000-0003-0359-9795</t>
  </si>
  <si>
    <t>0017-5749</t>
  </si>
  <si>
    <t>1468-3288</t>
  </si>
  <si>
    <t>10.1136/gutjnl-2017-315846</t>
  </si>
  <si>
    <t>WOS:000451278400018</t>
  </si>
  <si>
    <t>Sharma, K; Karl, B; Mathew, AV; Gangoiti, JA; Wassel, CL; Saito, R; Pu, MY; Sharma, S; You, YH; Wang, L; Diamond-Stanic, M; Lindenmeyer, MT; Forsblom, C; Wu, W; Ix, JH; Ideker, T; Kopp, JB; Nigam, SK; Cohen, CD; Groop, PH; Barshop, BA; Natarajan, L; Nyhan, WL; Naviaux, RK</t>
  </si>
  <si>
    <t>Sharma, Kumar; Karl, Bethany; Mathew, Anna V.; Gangoiti, Jon A.; Wassel, Christina L.; Saito, Rintaro; Pu, Minya; Sharma, Shoba; You, Young-Hyun; Wang, Lin; Diamond-Stanic, Maggie; Lindenmeyer, Maja T.; Forsblom, Carol; Wu, Wei; Ix, Joachim H.; Ideker, Trey; Kopp, Jeffrey B.; Nigam, Sanjay K.; Cohen, Clemens D.; Groop, Per-Henrik; Barshop, Bruce A.; Natarajan, Loki; Nyhan, William L.; Naviaux, Robert K.</t>
  </si>
  <si>
    <t>Metabolomics Reveals Signature of Mitochondrial Dysfunction in Diabetic Kidney Disease</t>
  </si>
  <si>
    <t>JOURNAL OF THE AMERICAN SOCIETY OF NEPHROLOGY</t>
  </si>
  <si>
    <t>ORGANIC ANION; NEPHROPATHY; GENES; TRANSPORTERS; BIOMARKERS; DISCOVERY; URINE; RISK; DRUG; OAT1</t>
  </si>
  <si>
    <t>Diabetic kidney disease is the leading cause of ESRD, but few biomarkers of diabetic kidney disease are available. This study used gas chromatography-mass spectrometry to quantify 94 urine metabolites in screening and validation cohorts of patients with diabetes mellitus (DM) and CKD(DM+CKD), in patients with DM without CKD (DM-CKD), and in healthy controls. Compared with levels in healthy controls, 13 metabolites were significantly reduced in the DM+CKD cohorts (P0.001), and 12 of the 13 remained significant when compared with the DM-CKD cohort. Many of the differentially expressed metabolites were water-soluble organic anions. Notably, organic anion transporter-1 (OAT1) knockout mice expressed a similar pattern of reduced levels of urinary organic acids, and human kidney tissue from patients with diabetic nephropathy demonstrated lower gene expression of OAT1 and OAT3. Analysis of bioinformatics data indicated that 12 of the 13 differentially expressed metabolites are linked to mitochondrial metabolism and suggested global suppression of mitochondrial activity in diabetic kidney disease. Supporting this analysis, human diabetic kidney sections expressed less mitochondrial protein, urine exosomes from patients with diabetes and CKD had less mitochondrial DNA, and kidney tissues from patients with diabetic kidney disease had lower gene expression of PGC1 (a master regulator of mitochondrial biogenesis). We conclude that urine metabolomics is a reliable source for biomarkers of diabetic complications, and our data suggest that renal organic ion transport and mitochondrial function are dysregulated in diabetic kidney disease.</t>
  </si>
  <si>
    <t>[Sharma, Kumar; Karl, Bethany; Saito, Rintaro; You, Young-Hyun; Diamond-Stanic, Maggie; Barshop, Bruce A.; Natarajan, Loki; Nyhan, William L.; Naviaux, Robert K.] Univ Calif San Diego, Inst Metabol Med, San Diego, CA 92103 USA; [Sharma, Kumar; Karl, Bethany; Mathew, Anna V.; Saito, Rintaro; Sharma, Shoba; You, Young-Hyun; Diamond-Stanic, Maggie; Ix, Joachim H.] Univ Calif San Diego, Ctr Renal Translat Med, Div Nephrol Hypertens, San Diego, CA 92103 USA; [Sharma, Kumar; Saito, Rintaro; Ideker, Trey; Naviaux, Robert K.] Univ Calif San Diego, Dept Med, Div Med Genet, San Diego, CA 92103 USA; [Wassel, Christina L.; Pu, Minya; Natarajan, Loki] Univ Calif San Diego, Dept Family &amp; Prevent Med, San Diego, CA 92103 USA; [Wu, Wei; Nigam, Sanjay K.] Univ Calif San Diego, Dept Pediat, San Diego, CA 92103 USA; [Wu, Wei; Nigam, Sanjay K.] Univ Calif San Diego, Dept Med, San Diego, CA 92103 USA; [Wu, Wei; Nigam, Sanjay K.] Univ Calif San Diego, Dept Cell &amp; Mol Med, San Diego, CA 92103 USA; [Sharma, Kumar; Karl, Bethany; Mathew, Anna V.; Diamond-Stanic, Maggie; Ix, Joachim H.] Vet Affairs San Diego Healthcare Syst, Div Nephrol Hypertens, San Diego, CA USA; [Gangoiti, Jon A.; Barshop, Bruce A.; Nyhan, William L.; Naviaux, Robert K.] Univ Calif San Diego, Dept Pediat, Div Genet, Biochem Genet Program, La Jolla, CA 92093 USA; [Wang, Lin; Naviaux, Robert K.] Univ Calif San Diego, Mitochondrial &amp; Metab Dis Ctr, Dept Med, La Jolla, CA 92093 USA; [Wang, Lin; Naviaux, Robert K.] Univ Calif San Diego, Mitochondrial &amp; Metab Dis Ctr, Dept Pediat, La Jolla, CA 92093 USA; [Wang, Lin; Naviaux, Robert K.] Univ Calif San Diego, Mitochondrial &amp; Metab Dis Ctr, Dept Pathol, La Jolla, CA 92093 USA; [Lindenmeyer, Maja T.; Cohen, Clemens D.] Univ Zurich Hosp, Div Nephrol, Zurich, Switzerland; [Forsblom, Carol; Groop, Per-Henrik] Univ Helsinki, Cent Hosp, Folkhalsan Res Ctr, Folkhalsan Inst Genet, Helsinki, Finland; [Forsblom, Carol; Groop, Per-Henrik] Univ Helsinki, Cent Hosp, Dept Med, Div Nephrol, Helsinki, Finland; [Kopp, Jeffrey B.] NIDDK, Kidney Dis Sect, NIH, Bethesda, MD 20892 USA; [Groop, Per-Henrik] IDI Baker Heart &amp; Diabet Inst, Melbourne, Vic, Australia</t>
  </si>
  <si>
    <t>University of California System; University of California San Diego; University of California System; University of California San Diego; University of California System; University of California San Diego; University of California System; University of California San Diego; University of California System; University of California San Diego; University of California System; University of California San Diego; University of California System; University of California San Diego; US Department of Veterans Affairs; Veterans Health Administration (VHA); VA San Diego Healthcare System; University of California System; University of California San Diego; University of California System; University of California San Diego; University of California System; University of California San Diego; University of California System; University of California San Diego; University of Zurich; Folkhalsan Research Center; University of Helsinki; Helsinki University Central Hospital; University of Helsinki; Helsinki University Central Hospital; National Institutes of Health (NIH) - USA; NIH National Institute of Diabetes &amp; Digestive &amp; Kidney Diseases (NIDDK)</t>
  </si>
  <si>
    <t>Sharma, K (corresponding author), Univ Calif San Diego, Inst Metabol Med, Ctr Renal Translat Med, Div Nephrol Hypertens, 405 Stein Clin Res Bldg,MC 0711, La Jolla, CA 92093 USA.</t>
  </si>
  <si>
    <t>kumarsharma@ucsd.edu</t>
  </si>
  <si>
    <t>Kopp, Jeffrey B/O-2681-2015; Mathew, Anna V/V-2511-2018</t>
  </si>
  <si>
    <t>Kopp, Jeffrey B/0000-0001-9052-186X; Ideker, Trey/0000-0002-1708-8454; Mathew, Anna/0000-0002-7043-4221; Lindenmeyer, Maja/0000-0003-4162-9107</t>
  </si>
  <si>
    <t>1046-6673</t>
  </si>
  <si>
    <t>1533-3450</t>
  </si>
  <si>
    <t>10.1681/ASN.2013020126</t>
  </si>
  <si>
    <t>WOS:000329911300021</t>
  </si>
  <si>
    <t>Martin, A; Zhou, A; Gordon, RE; Henderson, SC; Schwartz, AE; Friedman, EW; Davies, TF</t>
  </si>
  <si>
    <t>Thyroid organoid formation in simulated microgravity: Influence of keratinocyte growth factor</t>
  </si>
  <si>
    <t>THYROID</t>
  </si>
  <si>
    <t>EPITHELIAL-CELL GROWTH; COLLAGEN GEL; SCID MOUSE; HASHIMOTOS-THYROIDITIS; FOLLICLE FORMATION; GRAVES-DISEASE; IODIDE UPTAKE; PRESERVATION; EXPRESSION; ICAM-1</t>
  </si>
  <si>
    <t>The generation of artificial human thyroid tissues in suspension (low-shear environment, present in simulated microgravity [MG] and generated by a rotary cell culture system [RCCS]), was enhanced by increasing medium kinematic viscosity with a (3% v/v) suspension of extracellular matrix (basement membrane extract [BME]) in serum-free medium to generate artificial human thyroid organoids. Recombinant human keratinocyte growth factor (KGF, 7 ng/mL) facilitated human thyrocyte aggregation and three-dimensional (3-D) differentiation. There was an MG-associated decrease in extractable DNA that was reversed after addition of keratinocyte growth factor (KGF). In simulated MG, the increase in extractable DNA after KGF addition was up to 170% over non-KGF control cultures. In contrast, monolayer cultures in unit gravity showed a maximum DNA increase of 39% after KGF addition. Morphologically, differentiated thyroid neofollicles displayed polarization and were located in close proximity after 2 weeks of culture. Immunogold labeling with antibody to human thyroglobulin (Tg) revealed staining of follicular lumina and secretory vesicles, and a time-dependent increase in human Tg was detected in the culture media. Culture under simulated MG thus allowed direct visualization of KGF-facilitated thyrocyte/extracellular matrix interaction. Such artificial human thyroid organoids-generated in MG and in the presence of KGF-structurally resembled natural thyroid tissue. The above findings may have implications for autoimmune thyroid disease where KGF (if, for example, secreted locally by intraepithelial gamma delta T cells among other cells) may contribute to thyroid cell growth.</t>
  </si>
  <si>
    <t>CUNY Mt Sinai Sch Med, Dept Med, New York, NY 10029 USA; CUNY Mt Sinai Sch Med, Dept Pathol, New York, NY 10029 USA; CUNY Mt Sinai Sch Med, Dept Cell Biol &amp; Anat, New York, NY 10029 USA; CUNY Mt Sinai Sch Med, Dept Surg, New York, NY 10029 USA</t>
  </si>
  <si>
    <t>City University of New York (CUNY) System; Icahn School of Medicine at Mount Sinai; City University of New York (CUNY) System; Icahn School of Medicine at Mount Sinai; City University of New York (CUNY) System; Icahn School of Medicine at Mount Sinai; City University of New York (CUNY) System; Icahn School of Medicine at Mount Sinai</t>
  </si>
  <si>
    <t>Martin, A (corresponding author), CUNY Mt Sinai Sch Med, Dept Med, Box 1065,1 Gustave L Levy Pl, New York, NY 10029 USA.</t>
  </si>
  <si>
    <t>andreas.martin@mssm.edu</t>
  </si>
  <si>
    <t>Henderson, Scott/AAP-2785-2021</t>
  </si>
  <si>
    <t>Henderson, Scott/0000-0002-1076-3867</t>
  </si>
  <si>
    <t>1050-7256</t>
  </si>
  <si>
    <t>1557-9077</t>
  </si>
  <si>
    <t>10.1089/thy.2000.10.481</t>
  </si>
  <si>
    <t>WOS:000087969800006</t>
  </si>
  <si>
    <t>Cai, SL; Pataillot-Meakin, T; Shibakawa, A; Ren, R; Bevan, CL; Ladame, S; Ivanov, AP; Edel, JB</t>
  </si>
  <si>
    <t>Cai, Shenglin; Pataillot-Meakin, Thomas; Shibakawa, Akifumi; Ren, Ren; Bevan, Charlotte L.; Ladame, Sylvain; Ivanov, Aleksandar P.; Edel, Joshua B.</t>
  </si>
  <si>
    <t>Single-molecule amplification-free multiplexed detection of circulating microRNA cancer biomarkers from serum</t>
  </si>
  <si>
    <t>PROSTATE-CANCER; ELECTRONIC DETECTION; DNA; NANOPORES; EXOSOMES</t>
  </si>
  <si>
    <t>MicroRNAs (miRNAs) play essential roles in post-transcriptional gene expression and are also found freely circulating in bodily fluids such as blood. Dysregulated miRNA signatures have been associated with many diseases including cancer, and miRNA profiling from liquid biopsies offers a promising strategy for cancer diagnosis, prognosis and monitoring. Here, we develop size-encoded molecular probes that can be used for simultaneous electro-optical nanopore sensing of miRNAs, allowing for ultrasensitive, sequence-specific and multiplexed detection directly in unprocessed human serum, in sample volumes as small as 0.1 mu l. We show that this approach allows for femtomolar sensitivity and single-base mismatch selectivity. We demonstrate the ability to simultaneously monitor miRNAs (miR-141-3p and miR-375-3p) from prostate cancer patients with active disease and in remission. This technology can pave the way for next generation of minimally invasive diagnostic and companion diagnostic tests for cancer. miRNA profiling from patient blood can be used for cancer diagnosis. Here the authors present an electro-optical nanopore sensing platform which allows sensitive and specific miRNA detection directly in human serum and apply to monitoring of miR-141-3p and miR-375-3p in different stage of prostate cancer.</t>
  </si>
  <si>
    <t>[Cai, Shenglin; Pataillot-Meakin, Thomas; Ren, Ren; Ivanov, Aleksandar P.; Edel, Joshua B.] Imperial Coll London, Dept Chem, Mol Sci Res Hub, London W12 0BZ, England; [Pataillot-Meakin, Thomas; Ladame, Sylvain] Imperial Coll London, Dept Bioengn, Sir Michael Uren Hub, London W12 0BZ, England; [Pataillot-Meakin, Thomas; Shibakawa, Akifumi; Bevan, Charlotte L.] Hammersmith Hosp, Imperial Coll London, Dept Surg &amp; Canc, London, England</t>
  </si>
  <si>
    <t>Imperial College London; Imperial College London; Imperial College London</t>
  </si>
  <si>
    <t>Ivanov, AP; Edel, JB (corresponding author), Imperial Coll London, Dept Chem, Mol Sci Res Hub, London W12 0BZ, England.;Ladame, S (corresponding author), Imperial Coll London, Dept Bioengn, Sir Michael Uren Hub, London W12 0BZ, England.;Bevan, CL (corresponding author), Hammersmith Hosp, Imperial Coll London, Dept Surg &amp; Canc, London, England.</t>
  </si>
  <si>
    <t>charlotte.bevan@imperial.ac.uk; s.ladame@imperial.ac.uk; alex.ivanov@imperial.ac.uk; joshua.edel@imperial.ac.uk</t>
  </si>
  <si>
    <t>; Edel, Joshua/I-7699-2012; Bevan, Charlotte/K-2276-2012; Ivanov, Aleksandar/B-9431-2011</t>
  </si>
  <si>
    <t>Ladame, Sylvain/0000-0002-3358-9638; Ren, Ren/0000-0001-8288-8012; Pataillot-Meakin, Thomas/0000-0002-7619-5962; Edel, Joshua/0000-0001-5870-8659; Bevan, Charlotte/0000-0002-7533-0552; Cai, Shenglin/0000-0002-7815-6406; Ivanov, Aleksandar/0000-0003-1419-1381</t>
  </si>
  <si>
    <t>10.1038/s41467-021-23497-y</t>
  </si>
  <si>
    <t>WOS:000663747800005</t>
  </si>
  <si>
    <t>Delcambre, S; Ghelfi, J; Ouzren, N; Grandmougin, L; Delbrouck, C; Seibler, P; Wasner, K; Aasly, JO; Klein, C; Trinh, J; Pereira, SL; Grunewald, A</t>
  </si>
  <si>
    <t>Delcambre, Sylvie; Ghelfi, Jenny; Ouzren, Nassima; Grandmougin, Lea; Delbrouck, Catherine; Seibler, Philip; Wasner, Kobi; Aasly, Jan O.; Klein, Christine; Trinh, Joanne; Pereira, Sandro L.; Gruenewald, Anne</t>
  </si>
  <si>
    <t>Mitochondrial Mechanisms of LRRK2 G2019S Penetrance</t>
  </si>
  <si>
    <t>leucine-rich repeat kinase-2 (LRRK2); G2019S; Parkinson's disease; penetrance; mitochondria; mitochondrial DNA (mtDNA); fibroblasts</t>
  </si>
  <si>
    <t>LRRK2-ASSOCIATED PARKINSONS-DISEASE; DNA DAMAGE; IMPAIRMENT; MUTATIONS; PHENOTYPE; GENOTYPE</t>
  </si>
  <si>
    <t>Several mutations in leucine-rich repeat kinase-2 (LRRK2) have been associated with Parkinson's disease (PD). The most common substitution, G2019S, interferes with LRRK2 kinase activity, which is regulated by autophosphorylation. Yet, the penetrance of this gain-of-function mutation is incomplete, and thus far, few factors have been correlated with disease status in carriers. This includes (i) LRRK2 autophosphorylation in urinary exosomes, (ii) serum levels of the antioxidant urate, and (iii) abundance of mitochondrial DNA (mtDNA) transcription-associated 7S DNA. In light of a mechanistic link between LRRK2 kinase activity and mtDNA lesion formation, we previously investigated mtDNA integrity in fibroblasts from manifesting (LRRK2+/PD+) and non-manifesting carriers (LRRK2+/PD-) of the G2019S mutation as well as from aged-matched controls. In our published study, mtDNA major arc deletions correlated with PD status, with manifesting carriers presenting the highest levels. In keeping with these findings, we now further explored mitochondrial features in fibroblasts derived from LRRK2+/PD+ (n= 10), LRRK2+/PD- (n= 21), and control (n= 10) individuals. In agreement with an accumulation of mtDNA major arc deletions, we also detected reduced NADH dehydrogenase activity in the LRRK2+/PD+ group. Moreover, in affected G2019S carriers, we observed elevated mitochondrial mass and mtDNA copy numbers as well as increased expression of the transcription factornuclear factor erythroid 2-related factor 2(Nrf2), which regulates antioxidant signaling. Taken together, these results implicate mtDNA dyshomeostasis-possibly as a consequence of impaired mitophagy-in the penetrance of LRRK2-associated PD. Our findings are a step forward in the pursuit of unveiling markers that will allow monitoring of disease progression of LRRK2 mutation carriers.</t>
  </si>
  <si>
    <t>[Delcambre, Sylvie; Ghelfi, Jenny; Ouzren, Nassima; Grandmougin, Lea; Delbrouck, Catherine; Wasner, Kobi; Pereira, Sandro L.; Gruenewald, Anne] Univ Luxembourg, Luxembourg Ctr Syst Biomed, Esch Sur Alzette, Luxembourg; [Delbrouck, Catherine; Trinh, Joanne] Luxembourg Inst Hlth, Dept Oncol, Luxembourg, Luxembourg; [Seibler, Philip; Klein, Christine; Gruenewald, Anne] Univ Lubeck, Inst Neurogenet, Lubeck, Germany; [Aasly, Jan O.] Norwegian Univ Sci &amp; Technol, St Olavs Hosp, Dept Neuromed &amp; Movement Sci, Dept Neurol, Trondheim, Norway</t>
  </si>
  <si>
    <t>University of Luxembourg; Luxembourg Institute of Health; University of Lubeck; Norwegian University of Science &amp; Technology (NTNU)</t>
  </si>
  <si>
    <t>Grunewald, A (corresponding author), Univ Luxembourg, Luxembourg Ctr Syst Biomed, Esch Sur Alzette, Luxembourg.;Grunewald, A (corresponding author), Univ Lubeck, Inst Neurogenet, Lubeck, Germany.</t>
  </si>
  <si>
    <t>anne.gruenewald@uni.lu</t>
  </si>
  <si>
    <t>Grünewald, Anne/ABD-1255-2021; Seibler, Philip/AAB-5097-2022; Trinh, Joanne/ABD-5085-2021; Klein, Christine/AGK-8003-2022</t>
  </si>
  <si>
    <t>Grünewald, Anne/0000-0002-4179-2994; Klein, Christine/0000-0003-2102-3431; Seibler, Philip/0000-0002-3496-7194; Delbrouck, Catherine/0000-0002-5699-9082; Cardoso Pereira, Sandro Lino/0000-0001-9498-3965</t>
  </si>
  <si>
    <t>AUG 25</t>
  </si>
  <si>
    <t>10.3389/fneur.2020.00881</t>
  </si>
  <si>
    <t>WOS:000570377300001</t>
  </si>
  <si>
    <t>Gold, B; Cankovic, M; Furtado, LV; Meier, F; Gocke, CD</t>
  </si>
  <si>
    <t>Gold, Bert; Cankovic, Milena; Furtado, Larissa V.; Meier, Frederick; Gocke, Christopher D.</t>
  </si>
  <si>
    <t>Do Circulating Tumor Cells, Exosomes, and Circulating Tumor Nucleic Acids Have Clinical Utility? A Report of the Association for Molecular Pathology</t>
  </si>
  <si>
    <t>LUNG-CANCER PATIENTS; METASTATIC BREAST-CANCER; K-RAS MUTATIONS; PRIMARY COLORECTAL CANCERS; SERUM MICRORNA EXPRESSION; RESISTANT PROSTATE-CANCER; PLASMA DNA; PERIPHERAL-BLOOD; MICROSATELLITE ALTERATIONS; PROMOTER HYPERMETHYLATION</t>
  </si>
  <si>
    <t>Diagnosing and screening for tumors through noninvasive means represent an important paradigm shift in precision medicine. In contrast to tissue biopsy, detection of circulating tumor cells (CTCs) and circulating tumor nucleic acids provides a minimally invasive method for predictive and prognostic marker detection. This allows early and serial assessment of metastatic disease, including follow-up during remission, characterization of treatment effects, and clonal evolution. Isolation and characterization of CTCs and circulating tumor DNA (ctDNA) are likely to improve cancer diagnosis, treatment, and minimal residual disease monitoring. However, more trials are required to validate the clinical utility of precise molecular markers for a variety of tumor types. This review focuses on the clinical utility of CTCs and ctDNA testing in patients with solid tumors, including somatic and epigenetic alterations that can be detected. A comparison of methods used to isolate and detect CTCs and some of the intricacies of the characterization of the ctDNA are also provided.</t>
  </si>
  <si>
    <t>[Gold, Bert; Cankovic, Milena; Furtado, Larissa V.; Meier, Frederick; Gocke, Christopher D.] Circulating Tumor Cells Working Grp, Clin Practice Comm, Associat Mol Pathol, Bethesda, MD USA; [Gold, Bert] NIH, Ctr Canc Res, Frederick, MD 21702 USA; [Cankovic, Milena; Meier, Frederick] Henry Ford Hosp, Dept Pathol, Detroit, MI 48202 USA; [Furtado, Larissa V.] Univ Chicago, Med Ctr, Dept Pathol, Chicago, IL 60637 USA; [Gocke, Christopher D.] Johns Hopkins Univ, Sch Med, Dept Pathol, Baltimore, MD 21205 USA</t>
  </si>
  <si>
    <t>National Institutes of Health (NIH) - USA; NIH National Cancer Institute (NCI); Henry Ford Hospital; University of Chicago; University of Chicago Medical Center; Johns Hopkins University</t>
  </si>
  <si>
    <t>Gold, B (corresponding author), NIH, Ctr Canc Res, 1050 Boyles St, Frederick, MD 21702 USA.</t>
  </si>
  <si>
    <t>bert.gold@nih.gov</t>
  </si>
  <si>
    <t>10.1016/j.jmoldx.2015.02.001</t>
  </si>
  <si>
    <t>WOS:000353843900001</t>
  </si>
  <si>
    <t>Cheung, AHK; Chow, C; To, KF</t>
  </si>
  <si>
    <t>Cheung, Alvin Ho-Kwan; Chow, Chit; To, Ka-Fai</t>
  </si>
  <si>
    <t>Latest development of liquid biopsy</t>
  </si>
  <si>
    <t>JOURNAL OF THORACIC DISEASE</t>
  </si>
  <si>
    <t>Asian Thoracic Cancer Care Summit (ATCCS)</t>
  </si>
  <si>
    <t>APR 13-14, 2018</t>
  </si>
  <si>
    <t>Hong Kong, HONG KONG</t>
  </si>
  <si>
    <t>Liquid biopsy; lung cancer; personalized medicine</t>
  </si>
  <si>
    <t>METASTATIC BREAST-CANCER; CIRCULATING TUMOR-CELLS; BARR-VIRUS DNA; LYMPHOEPITHELIOMA-LIKE CARCINOMA; LUNG-CANCER; COLORECTAL-CANCER; PROMOTER HYPERMETHYLATION; EXTRACELLULAR VESICLES; FOLLOW-UP; PLASMA</t>
  </si>
  <si>
    <t>Liquid biopsy provides the opportunity of detecting and analyzing cancer in various body fluids. In peripheral blood, apart from circulating cell free DNA, circulating cancer cells and other tumor-associated compounds such as extracellular vesicles are also emerging candidates for detection. Compared to conventional tissue or cytology samples, liquid biopsy is non-invasive, safe, and easy to repeat. In view of tumor heterogeneity, it is also suggested that circulating cell free DNA may be more representative of the whole tumor cells population than a biopsy or cytology sample. In addition to assisting in the initial diagnosis, liquid biopsy can also be tailored for disease monitoring, detecting resistance mutation, tumor recurrence, and perhaps for screening in the future. The accuracy of this test is greatly facilitated by the advances of molecular techniques, from PCR-based methods, DNA sequencing, Digital PCR, to the more state-of-the-art next generation sequencing technologies. Despite the tremendous potential of liquid biopsy, there are limitations and not all clinical relevant cancer biomarkers can be detected in liquid biopsy at the present moment. The clinical utility of many of the tests derived from liquid biopsy required further investigations and clinical validation. This review provides an overview of the concept of liquid biopsy, its clinical applications, and discuss the multifaceted advances in this field.</t>
  </si>
  <si>
    <t>[Cheung, Alvin Ho-Kwan; Chow, Chit; To, Ka-Fai] Chinese Univ Hong Kong, Prince Wales Hosp, Sir YK Pao Canc Ctr, Dept Anat &amp; Cellular Pathol,State Key Lab Oncol S, Hong Kong, Hong Kong, Peoples R China</t>
  </si>
  <si>
    <t>Chinese University of Hong Kong; Prince of Wales Hospital</t>
  </si>
  <si>
    <t>To, KF (corresponding author), Chinese Univ Hong Kong, Prince Wales Hosp, Dept Anat &amp; Cellular Pathol, Shatin, Hong Kong, Peoples R China.</t>
  </si>
  <si>
    <t>kfto@cuhk.edu.hk</t>
  </si>
  <si>
    <t>2072-1439</t>
  </si>
  <si>
    <t>2077-6624</t>
  </si>
  <si>
    <t>S1645</t>
  </si>
  <si>
    <t>S1651</t>
  </si>
  <si>
    <t>10.21037/jtd.2018.04.68</t>
  </si>
  <si>
    <t>WOS:000435837800006</t>
  </si>
  <si>
    <t>Tsui, NBY; Wong, CSC; Chow, KCK; Lo, ESF; Cheng, YKY</t>
  </si>
  <si>
    <t>Tsui, Nancy B. Y.; Wong, Cesar S. C.; Chow, Katherine C. K.; Lo, Elena S. F.; Cheng, Yvonne K. Y.</t>
  </si>
  <si>
    <t>Investigation of biological factors influencing the placental mRNA profile in maternal plasma</t>
  </si>
  <si>
    <t>PRENATAL DIAGNOSIS</t>
  </si>
  <si>
    <t>FETAL DNA CLEARANCE; SYNCYTIAL KNOTS; DIGITAL PCR; SYNCYTIOTROPHOBLAST; MICROPARTICLES; PREECLAMPSIA; MICROVESICLES; EXPRESSION; MEMBRANE; CELLS</t>
  </si>
  <si>
    <t>Objective Circulating placental-derived RNA is useful for noninvasive prenatal investigation. However, in addition to placental gene expression, there are limited investigations on other biological parameters that may affect the circulating placental RNA profile. In this study, we explored two of these potential parameters. Methods We first demonstrated the existence of such biological parameters by comparing the relative levels of a panel of placental-derived transcripts between the placentas and maternal plasma by digital PCRs. We then compared the post-delivery clearance of the transcripts by serial plasma samples collected from pregnant women after delivery. We also studied the placental in vivo localization of the transcripts by in situ hybridization. Results There was an imperfect correlation of the transcript levels between the placentas and maternal plasma, with placenta-specific 4 (PLAC4) mRNA showing the largest discrepancy. Although PLAC4 mRNA showed a similar clearance half-life with other transcripts, we observed a preferential localization of PLAC4 mRNA around the villous surface. We speculated that this phenomenon might play a role in favoring the release of PLAC4 mRNA molecules into maternal plasma. Conclusion We revealed that in addition to expression levels in the placenta, other biological factors might interplay to determine the maternal plasma profile of placental-derived RNAs. (c) 2013 John Wiley &amp; Sons, Ltd.</t>
  </si>
  <si>
    <t>[Tsui, Nancy B. Y.; Chow, Katherine C. K.] Li Ka Shing Inst Hlth Sci, Ctr Res Circulating Fetal Nucle Acids, Hong Kong, Hong Kong, Peoples R China; [Tsui, Nancy B. Y.; Chow, Katherine C. K.; Lo, Elena S. F.] Chinese Univ Hong Kong, Dept Chem Pathol, Hong Kong, Hong Kong, Peoples R China; [Wong, Cesar S. C.] Hong Kong Polytech Univ, Dept Hlth Technol &amp; Informat, Hong Kong, Hong Kong, Peoples R China; [Cheng, Yvonne K. Y.] Chinese Univ Hong Kong, Hong Kong, Hong Kong, Peoples R China</t>
  </si>
  <si>
    <t>Chinese University of Hong Kong; Hong Kong Polytechnic University; Chinese University of Hong Kong</t>
  </si>
  <si>
    <t>Tsui, NBY (corresponding author), Li Ka Shing Inst Hlth Sci, Ctr Res Circulating Fetal Nucle Acids, Hong Kong, Hong Kong, Peoples R China.</t>
  </si>
  <si>
    <t>nancytsui.cuhk@gmail.com</t>
  </si>
  <si>
    <t>WONG, Sze Chuen Cesar/0000-0003-0058-140X</t>
  </si>
  <si>
    <t>0197-3851</t>
  </si>
  <si>
    <t>1097-0223</t>
  </si>
  <si>
    <t>10.1002/pd.4300</t>
  </si>
  <si>
    <t>Genetics &amp; Heredity; Obstetrics &amp; Gynecology</t>
  </si>
  <si>
    <t>WOS:000333020300008</t>
  </si>
  <si>
    <t>KRAUSSLICH, HG; FACKE, M; HEUSER, AM; KONVALINKA, J; ZENTGRAF, H</t>
  </si>
  <si>
    <t>THE SPACER PEPTIDE BETWEEN HUMAN-IMMUNODEFICIENCY-VIRUS CAPSID AND NUCLEOCAPSID PROTEINS IS ESSENTIAL FOR ORDERED ASSEMBLY AND VIRAL INFECTIVITY</t>
  </si>
  <si>
    <t>JOURNAL OF VIROLOGY</t>
  </si>
  <si>
    <t>BACULOVIRUS-INFECTED CELLS; PARTICLE FORMATION; GAG PROTEINS; POSTTRANSLATIONAL MODIFICATIONS; TYPE-1; EXPRESSION; HIV; IDENTIFICATION; INVITRO; RELEASE</t>
  </si>
  <si>
    <t>Morphogenesis of retroviruses involves ordered assembly of the structural Gag- and Gag-Pol polyproteins, with subsequent budding from the plasma membrane and proteolytic cleavage by the viral proteinase (PR). Two cleavage sites exist between the capsid (CA) and nucleocapsid (NC) domains of the human immunodeficiency virus (HIV) type 1 Gag polyprotein which are separated by a 14-amino-acid spacer peptide of unknown function. To analyze the role of the two cleavage sites and the spacer peptide, both sites were individually mutated and a deletion mutation that precisely removes the spacer peptide was constructed. Following transfection of proviral DNA carrying the point mutations, mutant polyproteins were synthesized and assembled like wild-type polyprotein, and release of particles was not significantly altered. Both mutations abolished cleavage at the respective site and reduced or abolished viral infectivity. Deletion of the spacer peptide severely affected ordered assembly and reduced particle release. The extracellular particles that were released exhibited normal density but were heterogeneous in size. Electron micrographs revealed large electron-dense plaques underneath the plasma membrane of transfected cells which appeared like confluent ribonucleoprotein complexes arrested early in the budding process. Extracellular particles exhibited very aberrant and heterogeneous morphology and were incapable of inducing viral spread. These particles may correspond to membrane vesicles sequestered by the rigid structures underneath the cell membrane and not released by a regular budding process.</t>
  </si>
  <si>
    <t>ACAD SCI CZECH REPUBL, INST ORGAN CHEM &amp; BIOCHEM, DEPT BIOCHEM, CR-16610 PRAGUE 6, CZECH REPUBLIC</t>
  </si>
  <si>
    <t>Czech Academy of Sciences; Institute of Organic Chemistry &amp; Biochemistry of the Czech Academy of Sciences</t>
  </si>
  <si>
    <t>KRAUSSLICH, HG (corresponding author), DEUTSCH KREBSFORSCHUNGSZENTRUM, IMMUNOCHEM ABT, NEUENHEIMER FELD 242, D-69120 HEIDELBERG, GERMANY.</t>
  </si>
  <si>
    <t>Konvalinka, Jan/G-7518-2014</t>
  </si>
  <si>
    <t>Konvalinka, Jan/0000-0003-0695-9266</t>
  </si>
  <si>
    <t>0022-538X</t>
  </si>
  <si>
    <t>WOS:A1995QX93100019</t>
  </si>
  <si>
    <t>Geddings, JE; Mackman, N</t>
  </si>
  <si>
    <t>Geddings, Julia E.; Mackman, Nigel</t>
  </si>
  <si>
    <t>New players in haemostasis and thrombosis</t>
  </si>
  <si>
    <t>THROMBOSIS AND HAEMOSTASIS</t>
  </si>
  <si>
    <t>Coagulation factors; deep-vein thrombosis; arterial thrombosis; microparticles; thrombosis</t>
  </si>
  <si>
    <t>CELL-DERIVED MICROPARTICLES; NEUTROPHIL EXTRACELLULAR TRAPS; DEEP-VEIN THROMBOSIS; COAGULATION-FACTOR-XII; FORMATION IN-VIVO; TISSUE FACTOR; VENOUS THROMBOSIS; P-SELECTIN; BLOOD-COAGULATION; PLATELET POLYPHOSPHATES</t>
  </si>
  <si>
    <t>The blood coagulation cascade is essential for haemostasis, but excessive activation can cause thrombosis. Importantly, recent studies have identified factors that contribute to thrombosis but not haemostasis. These include factor XII (FXII), tissue factor-positive microparticles (MPs) and neutrophil extracellular traps (NETs). Studies have shown that FXII plays a role in thrombosis but not haemostasis. FXII is I activated in vivo by a variety of negatively-charged polyphosphates, which include extracellular RNA, DNA and inorganic polyphosphate (PolyP) that are released during cell damage and infection. These findings have led to the development of nucleic acid-binding polymers as a new class of anticoagulant drug. Other studies have analysed the role of MPs in experimental thrombosis. MPs are small membrane vesicles released from activated or apoptotic cells. We and others have found that tissue factor-positive MPs enhance thrombosis in mouse models and are elevated in the plasma of pancreatic cancer patients. Finally, NETs have been shown to contribute to experimental venous thrombosis in mouse models and are present in human thrombi. NETs are composed of chromatin fibers that are released from neutrophils undergoing cell death. NETs can capture platelets and increase fibrin deposition. The recent advances in our understanding of the factors contributing to thrombosis in animal models provide new opportunities for the development of safer anticoagulant drugs.</t>
  </si>
  <si>
    <t>Univ N Carolina, Dept Med, Div Hematol Oncol, Chapel Hill, NC 27599 USA; [Geddings, Julia E.; Mackman, Nigel] Univ N Carolina, Dept Pathol &amp; Lab Med, Chapel Hill, NC USA; [Mackman, Nigel] Univ N Carolina, UNC McAllister Heart Inst, Chapel Hill, NC USA; [Mackman, Nigel] Univ N Carolina, Dept Med, Chapel Hill, NC USA</t>
  </si>
  <si>
    <t>University of North Carolina; University of North Carolina Chapel Hill; University of North Carolina; University of North Carolina Chapel Hill; University of North Carolina; University of North Carolina Chapel Hill; University of North Carolina; University of North Carolina Chapel Hill</t>
  </si>
  <si>
    <t>Mackman, N (corresponding author), Univ N Carolina, Dept Med, Div Hematol Oncol, Chapel Hill, NC 27599 USA.</t>
  </si>
  <si>
    <t>Mackman, Nigel/0000-0002-9170-7700</t>
  </si>
  <si>
    <t>0340-6245</t>
  </si>
  <si>
    <t>10.1160/TH13-10-0812</t>
  </si>
  <si>
    <t>WOS:000334152900004</t>
  </si>
  <si>
    <t>Marcoux, G; Duchez, AC; Rousseau, M; Levesque, T; Boudreau, LH; Thibault, L; Boilard, E</t>
  </si>
  <si>
    <t>Marcoux, Genevieve; Duchez, Anne-Claire; Rousseau, Matthieu; Levesque, Tania; Boudreau, Luc H.; Thibault, Louis; Boilard, Eric</t>
  </si>
  <si>
    <t>Microparticle and mitochondrial release during extended storage of different types of platelet concentrates</t>
  </si>
  <si>
    <t>Microparticles; mitochondria; platelet concentrates; SPADE; storage; transfusion</t>
  </si>
  <si>
    <t>ACTIVATED PLATELETS; MEMBRANE-VESICLES; CYTOMETRY DATA; RICH PLASMA; DNA LEVELS; IN-VIVO; NEUTROPHILS; APHERESIS; COMPONENTS; CELLS</t>
  </si>
  <si>
    <t>On activation, platelets release vesicles called microparticles (MPs). MPs are heterogeneous with regard to the presence or absence of mitochondria. We quantified MPs in platelet concentrates (PCs) taking their mitochondrial content into account. Platelet-rich plasma (PRP), buffy coat (BC) and apheresis (AP) PCs were tested through 7 days of storage. A combination of flow cytometry and spanning-tree progression analysis of density-normalized events (SPADE) was used to determine MP and mitochondrial release during storage. All the PC biochemical parameters complied with transfusion standards at all times. Platelet activation markers increased during storage and were higher for PRP than other types of PCs. Concentrations of MPs and extracellular mitochondria interpreted by SPADE algorithm were significantly higher in PRP than other in PCs and were stable throughout storage. The mode of preparation, rather than storage duration, impacts the release of MPs and mitochondria in PCs.</t>
  </si>
  <si>
    <t>[Marcoux, Genevieve; Duchez, Anne-Claire; Rousseau, Matthieu; Levesque, Tania; Boudreau, Luc H.; Thibault, Louis; Boilard, Eric] Univ Laval, Fac Med, Ctr Hosp Univ Quebec, Ctr Rech Rhumatol &amp; Immunol,Ctr Rech, 2705 Laurier,Room T1-49, Quebec City, PQ G1V 4G2, Canada; [Marcoux, Genevieve; Thibault, Louis] Hema Quebec, Res &amp; Dev, Quebec City, PQ, Canada</t>
  </si>
  <si>
    <t>Laval University; Hema-Quebec</t>
  </si>
  <si>
    <t>Boilard, E (corresponding author), Univ Laval, Fac Med, Ctr Hosp Univ Quebec, Ctr Rech Rhumatol &amp; Immunol,Ctr Rech, 2705 Laurier,Room T1-49, Quebec City, PQ G1V 4G2, Canada.</t>
  </si>
  <si>
    <t>Duchez, anne-claire/AAK-5041-2020; Rousseau, Matthieu/AAA-5385-2022</t>
  </si>
  <si>
    <t>Rousseau, Matthieu/0000-0002-2895-2957</t>
  </si>
  <si>
    <t>10.1080/09537104.2016.1218455</t>
  </si>
  <si>
    <t>WOS:000400794900010</t>
  </si>
  <si>
    <t>Ocadiz, R; Orozco, E; Carrillo, E; Quintas, LI; Ortega-Lopez, J; Garcia-Perez, RM; Sanchez, T; Castillo-Juarez, BA; Garcia-Rivera, G; Rodriguez, MA</t>
  </si>
  <si>
    <t>EhCP112 is an Entamoeba histolytica secreted cysteine protease that may be involved in the parasite-virulence</t>
  </si>
  <si>
    <t>CELLULAR MICROBIOLOGY</t>
  </si>
  <si>
    <t>ANTISENSE INHIBITION; LIVER-ABSCESS; PROTEINASE; EXPRESSION; GENE; OVEREXPRESSION; PATHOGENICITY; PHAGOCYTOSIS; PURIFICATION; TROPHOZOITES</t>
  </si>
  <si>
    <t>EhCP112 is an Entamoeba histolytica protease that together with the EhADH112 protein forms the EhCPADH complex involved in trophozoite virulence. Here, we produced the recombinant EhCP112 and studied its relationships with extracellular matrix components and with target cells. A DNA fragment containing the pro-peptide and the mature enzyme was expressed in bacteria as an active enzyme (rEhCP112), whereas the full gene containing the signal peptide, the pro-peptide and the mature enzyme expressed a non-active protein. The fragment only with the mature enzyme was not expressed. rEhCP112 purified by affinity columns digested azocasein and had a strong autoproteolytic activity. Four hours after purification the protein appeared degraded. Anti-tag antibodies, monoclonal antibodies against the EhCP112 and sera from human patients with amoebiasis recognized rEhCP112. rEhCP112 digested gelatin, collagen type I, fibronectin and haemoglobin; it destroyed MDCK cell monolayers and bound to red blood cells. The native EhCP112 was poorly expressed in a virulence-deficient mutant, and in the wild-type clone it was located in secreted vesicles, forming the EhCPADH complex. Altogether these results show that EhCP112 is a molecule able to disrupt cell monolayers and digest proteins of the extracellular matrix and haemoglobin, and it is secreted by the trophozoites.</t>
  </si>
  <si>
    <t>Inst Politecn Nacl, Ctr Invest &amp; Estudios Avanzados, Dept Patol Expt, Mexico City 07000, DF, Mexico; IPN, Escuela Super Med &amp; Homeopatia, Mexico City 07320, DF, Mexico; Inst Politecn Nacl, Ctr Invest &amp; Estudios Avanzados, Dept Biotecnol &amp; Bioingn, Mexico City 07000, DF, Mexico</t>
  </si>
  <si>
    <t>CINVESTAV - Centro de Investigacion y de Estudios Avanzados del Instituto Politecnico Nacional; Instituto Politecnico Nacional - Mexico; Instituto Politecnico Nacional - Mexico; CINVESTAV - Centro de Investigacion y de Estudios Avanzados del Instituto Politecnico Nacional; Instituto Politecnico Nacional - Mexico</t>
  </si>
  <si>
    <t>Rodriguez, MA (corresponding author), Inst Politecn Nacl, Ctr Invest &amp; Estudios Avanzados, Dept Patol Expt, AP 14-740, Mexico City 07000, DF, Mexico.</t>
  </si>
  <si>
    <t>marodri@mail.cinvestav.mx</t>
  </si>
  <si>
    <t>Rodriguez, Mario/Y-5637-2019; Quintas, Laura/A-6317-2014; Ortega-Lopez, Jaime/A-1364-2008</t>
  </si>
  <si>
    <t>Rodriguez, Mario/0000-0003-3998-9779; Ortega-Lopez, Jaime/0000-0001-9136-9994; QUINTAS GRANADOS, LAURA ITZEL/0000-0002-8622-2004</t>
  </si>
  <si>
    <t>1462-5814</t>
  </si>
  <si>
    <t>1462-5822</t>
  </si>
  <si>
    <t>10.1111/j.1462-5822.2004.00453.x</t>
  </si>
  <si>
    <t>Cell Biology; Microbiology</t>
  </si>
  <si>
    <t>WOS:000226475200007</t>
  </si>
  <si>
    <t>Zargarian, S; Shlomovitz, I; Erlich, Z; Hourizadeh, A; Ofir-Birin, Y; Croker, BA; Regev-Rudzki, N; Edry-Botzer, L; Gerlic, M</t>
  </si>
  <si>
    <t>Zargarian, Sefi; Shlomovitz, Inbar; Erlich, Ziv; Hourizadeh, Aria; Ofir-Birin, Yifat; Croker, Ben A.; Regev-Rudzki, Neta; Edry-Botzer, Liat; Gerlic, Motti</t>
  </si>
  <si>
    <t>Phosphatidylserine externalization, necroptotic bodies release, and phagocytosis during necroptosis</t>
  </si>
  <si>
    <t>PLOS BIOLOGY</t>
  </si>
  <si>
    <t>CELL-DEATH; FLOW-CYTOMETRY; MYCOPLASMA-FERMENTANS; PROGRAMMED NECROSIS; APOPTOTIC BODIES; EXPOSURE; MACROPHAGES; RIP3; DNA; DISCRIMINATION</t>
  </si>
  <si>
    <t>Necroptosis is a regulated, nonapoptotic form of cell death initiated by receptor-interacting protein kinase-3 (RIPK3) and mixed lineage kinase domain-like (MLKL) proteins. It is considered to be a form of regulated necrosis, and, by lacking the find me and eat me signals that are a feature of apoptosis, necroptosis is considered to be inflammatory. One such eat me signal observed during apoptosis is the exposure of phosphatidylserine (PS) on the outer plasma membrane. Here, we demonstrate that necroptotic cells also expose PS after phosphorylated mixed lineage kinase-like (pMLKL) translocation to the membrane. Necroptotic cells that expose PS release extracellular vesicles containing proteins and pMLKL to their surroundings. Furthermore, inhibition of pMLKL after PS exposure can reverse the process of necroptosis and restore cell viability. Finally, externalization of PS by necroptotic cells drives recognition and phagocytosis, and this may limit the inflammatory response to this nonapoptotic form of cell death. The exposure of PS to the outer membrane and to extracellular vesicles is therefore a feature of necroptotic cell death and may serve to provide an immunologically-silent window by generating specific find me and eat me signals.</t>
  </si>
  <si>
    <t>[Zargarian, Sefi; Shlomovitz, Inbar; Erlich, Ziv; Hourizadeh, Aria; Edry-Botzer, Liat; Gerlic, Motti] Tel Aviv Univ, Sackler Fac Med, Dept Clin Microbiol &amp; Immunol, Tel Aviv, Israel; [Ofir-Birin, Yifat; Regev-Rudzki, Neta] Weizmann Inst Sci, Dept Biomol Sci, Rehovot, Israel; [Croker, Ben A.] Boston Childrens Hosp, Div Hematol Oncol, Boston, MA USA; [Croker, Ben A.] Harvard Med Sch, Dept Pediat, Boston, MA USA</t>
  </si>
  <si>
    <t>Tel Aviv University; Sackler Faculty of Medicine; Weizmann Institute of Science; Harvard University; Boston Children's Hospital; Harvard University; Harvard Medical School</t>
  </si>
  <si>
    <t>Gerlic, M (corresponding author), Tel Aviv Univ, Sackler Fac Med, Dept Clin Microbiol &amp; Immunol, Tel Aviv, Israel.</t>
  </si>
  <si>
    <t>mgerlic@post.tau.ac.il</t>
  </si>
  <si>
    <t>gerlic, Motti/I-5492-2019; Gerlic, Motti/U-3484-2017</t>
  </si>
  <si>
    <t>gerlic, Motti/0000-0001-9518-1833; Gerlic, Motti/0000-0001-9518-1833</t>
  </si>
  <si>
    <t>1545-7885</t>
  </si>
  <si>
    <t>e2002711</t>
  </si>
  <si>
    <t>10.1371/journal.pbio.2002711</t>
  </si>
  <si>
    <t>Biochemistry &amp; Molecular Biology; Biology</t>
  </si>
  <si>
    <t>Biochemistry &amp; Molecular Biology; Life Sciences &amp; Biomedicine - Other Topics</t>
  </si>
  <si>
    <t>WOS:000404510400023</t>
  </si>
  <si>
    <t>RABANUS, JP; GREENSPAN, D; PETERSEN, V; LESER, U; WOLF, H; GREENSPAN, JS</t>
  </si>
  <si>
    <t>SUBCELLULAR-DISTRIBUTION AND LIFE-CYCLE OF EPSTEIN-BARR-VIRUS IN KERATINOCYTES OF ORAL HAIRY LEUKOPLAKIA</t>
  </si>
  <si>
    <t>AMERICAN JOURNAL OF PATHOLOGY</t>
  </si>
  <si>
    <t>HERPES-SIMPLEX VIRUS; TEMPERATURE-SENSITIVE MUTANTS; MEMBRANE ANTIGEN GP350/220; MONOCLONAL-ANTIBODIES; INSITU HYBRIDIZATION; EPITHELIAL-CELLS; FINE-STRUCTURE; DNA; INFECTION; EXPRESSION</t>
  </si>
  <si>
    <t>The authors investigated the life cycle of Epstein-Barr virus (EBV) in keratinocytes of oral hairy leukoplakia by combining immunohistochemistry, DNA in situ hybridization, and lectin histochemistry with electron microscopy. Diffuse-staining components of the EBV early antigen complex (EA-D), EBV 150-kd capsid antigen (VCA), EBV membrane antigen (gp350/220), and double-stranded DNA were labeled with monoclonal antibodies. An EBV-DNA probe was used to locate EBV DNA. Wheat-germ agglutinin (WGA) was employed to distinguish Golgi-associated compartments. The authors found EBV proteins and EBV DNA only in keratinocytes with apparent viral assembly. In situ hybridization showed EBV DNA in free corelike material and in electron-dense cores of mature nucleocapsids. Monoclonal antibodies to nonspecific double-stranded DNA attached to the same structures and to marginated chromatin. Components of EA-D were dispersed throughout the nuclei but accumulated near condensed chromatin and in 'punched-out' regions of the chromatin. Epstein-Barr virus 150-kd capsid antigen was found only in the nuclei, where it appeared preferentially on mature nucleocapsids. As yet unexplained arrays of intranuclear particles that remained unlabeled with all EBV-specific probes reacted intensely with an antiserum against common papillomavirus antigen. Gp350/220 was detectable in various cellular membrane compartments and was highly concentrated on EBV envelopes in peripheral Golgi-associated secretory vesicles. It was less abundant on the extracellular EBV, indicating that viral membrane antigen partly dissociates from the mature virus. Combined lectin-binding histochemistry and electron microscopy demonstrated for the first time that EBV is processed in the Golgi-apparatus, which eventually releases the virus by fusion with the plasma membrane. These results provide insight into the biologic events that occur during complete EBV replication in vivo.</t>
  </si>
  <si>
    <t>MAX VON PETTENKOFER INST, MUNICH, GERMANY</t>
  </si>
  <si>
    <t>RABANUS, JP (corresponding author), UNIV CALIF SAN FRANCISCO, ORAL AIDS CTR, SCH DENT, DEPT STOMATOL, SAN FRANCISCO, CA 94143 USA.</t>
  </si>
  <si>
    <t>Greenspan, John/AAE-9321-2020</t>
  </si>
  <si>
    <t>0002-9440</t>
  </si>
  <si>
    <t>1525-2191</t>
  </si>
  <si>
    <t>WOS:A1991FV81600021</t>
  </si>
  <si>
    <t>He, Y; Wu, YT; Wang, Y; Wang, XP; Xing, S; Li, HL; Guo, SH; Yu, XH; Dai, SQ; Zhang, G; Zeng, MS; Liu, WL</t>
  </si>
  <si>
    <t>He, Yi; Wu, Yetao; Wang, Yu; Wang, Xueping; Xing, Shan; Li, Huilan; Guo, Songhe; Yu, Xiaohui; Dai, Shuqin; Zhang, Ge; Zeng, Musheng; Liu, Wanli</t>
  </si>
  <si>
    <t>Applying CRISPR/Cas13 to Construct Exosomal PD-L1 Ultrasensitive Biosensors for Dynamic Monitoring of Tumor Progression in Immunotherapy</t>
  </si>
  <si>
    <t>ADVANCED THERAPEUTICS</t>
  </si>
  <si>
    <t>aptamers; ARTCA; CRISPR; Cas13a; tumor progression assessments</t>
  </si>
  <si>
    <t>RECOMBINASE POLYMERASE AMPLIFICATION; SENSITIVE DETECTION; BIOGENESIS; ASSAY</t>
  </si>
  <si>
    <t>Programmed cell death receptor 1 (PD-L1) protein on exosomes (exosomal PD-L1) is one of the most promising biomarkers for cancer immunotherapy monitoring. However, current approaches for exosomal PD-L1 detection are poorly sensitive, laborious, and time-consuming. Here, a new method, named Aptamer-RPA-TMA-Cas13a Assay (ARTCA) is established, which enables exosomal PD-L1 to be detected directly in serum with a lower limit of 10 particles mL(-1). Mechanistically, using DNA aptamer specifically binding to exosomal PD-L1, the aptamer is amplified twice by recombinase polymerase amplification (RPA) coupled with transcription-mediated amplification (TMA) and simultaneously the TMA products are detected in real-time with CRISPR/Cas13a system. Utilizing ARTCA, PD-L1 levels in circulating exosomes seem to be a reliable marker of PD-L1 expression in tumor tissue. The level of circulating exosomal PD-L1 increases significantly in patients with tumor progression. Ultra-trace detection of serum exosomal PD-L1 by ARTCA provides a potentially convenient way for dynamic monitoring of tumor progression for patients undergoing immunotherapy. These results demonstrate the use of CRISPR-Cas13a for protein detection, and circulating exosomal PD-L1 levels seem to be a reliable marker as well as PD-L1 expression in tumor tissue, opening up new avenues for monitoring tumor progression.</t>
  </si>
  <si>
    <t>[He, Yi; Wang, Yu; Wang, Xueping; Xing, Shan; Li, Huilan; Dai, Shuqin; Zeng, Musheng; Liu, Wanli] Sun Yat Sen Univ, Ctr Canc, Collaborat Innovat Ctr Canc Med, Dept Clin Lab Med,State Key Lab Oncol South China, 651 Dongfeng Rd East, Guangzhou 510080, Peoples R China; [He, Yi; Wu, Yetao; Wang, Yu; Yu, Xiaohui; Dai, Shuqin; Zeng, Musheng; Liu, Wanli] Sun Yat Sen Univ, Ctr Canc, Collaborat Innovat Ctr Canc Med, State Key Lab Oncol South China, 651 Dongfeng Rd East, Guangzhou 510080, Peoples R China; [Guo, Songhe; Zhang, Ge] Sun Yat Sen Univ, Sch Pharmaceut Sci, 132 Waihuandong Rd, Guangzhou 510006, Peoples R China</t>
  </si>
  <si>
    <t>State Key Lab Oncology South China; Sun Yat Sen University; State Key Lab Oncology South China; Sun Yat Sen University; Sun Yat Sen University</t>
  </si>
  <si>
    <t>Zeng, MS; Liu, WL (corresponding author), Sun Yat Sen Univ, Ctr Canc, Collaborat Innovat Ctr Canc Med, Dept Clin Lab Med,State Key Lab Oncol South China, 651 Dongfeng Rd East, Guangzhou 510080, Peoples R China.;Zeng, MS; Liu, WL (corresponding author), Sun Yat Sen Univ, Ctr Canc, Collaborat Innovat Ctr Canc Med, State Key Lab Oncol South China, 651 Dongfeng Rd East, Guangzhou 510080, Peoples R China.</t>
  </si>
  <si>
    <t>zengmsh@sysucc.org.cn; liuwl@sysucc.org.cn</t>
  </si>
  <si>
    <t>2366-3987</t>
  </si>
  <si>
    <t>10.1002/adtp.202000093</t>
  </si>
  <si>
    <t>WOS:000554618100001</t>
  </si>
  <si>
    <t>Gatto, L; Franceschi, E; Di Nunno, V; Tosoni, A; Lodi, R; Brandes, AA</t>
  </si>
  <si>
    <t>Gatto, Lidia; Franceschi, Enrico; Di Nunno, Vincenzo; Tosoni, Alicia; Lodi, Raffaele; Brandes, Alba Ariela</t>
  </si>
  <si>
    <t>Liquid Biopsy in Glioblastoma Management: From Current Research to Future Perspectives</t>
  </si>
  <si>
    <t>Liquid biopsy; Glioblastoma; Biomarker; Circulating tumor cells; Circulating tumor DNA; Microvescicles; Circulating microRNA; Prognostic; Predictive</t>
  </si>
  <si>
    <t>CENTRAL-NERVOUS-SYSTEM; CIRCULATING TUMOR-CELLS; METASTATIC NICHE FORMATION; CEREBROSPINAL-FLUID; EXTRACELLULAR VESICLES; PERIPHERAL-BLOOD; MESSENGER-RNA; PROMOTER METHYLATION; MICRORNA SIGNATURE; MALIGNANT GLIOMAS</t>
  </si>
  <si>
    <t>Glioblastoma (GBM) is the most common primary tumor of the central nervous system. Arising from neuroepithelial glial cells, GBM is characterized by invasive behavior, extensive angiogenesis, and genetic heterogeneity that contributes to poor prognosis and treatment failure. Currently, there are several molecular biomarkers available to aid in diagnosis, prognosis, and predicting treatment outcomes; however, all require the biopsy of tumor tissue. Nevertheless, a tissue sample from a single location has its own limitations, including the risk related to the procedure and the difficulty of obtaining longitudinal samples to monitor treatment response and to fully capture the intratumoral heterogeneity of GBM. To date, there are no biomarkers in blood or cerebrospinal fluid for detection, follow-up, or prognostication of GBM. Liquid biopsy offers an attractive and minimally invasive solution to support different stages of GBM management, assess the molecular biology of the tumor, identify early recurrence and longitudinal genomic evolution, predict both prognosis and potential resistance to chemotherapy or radiotherapy, and allow patient selection for targeted therapies. The aim of this review is to describe the current knowledge regarding the application of liquid biopsy in glioblastoma, highlighting both benefits and obstacles to translation into clinical care. Implications for Practice To translate liquid biopsy into clinical practice, further prospective studies are required with larger cohorts to increase specificity and sensitivity. With the ever-growing interest in RNA nanotechnology, microRNAs may have a therapeutic role in brain tumors.</t>
  </si>
  <si>
    <t>[Gatto, Lidia; Franceschi, Enrico; Di Nunno, Vincenzo; Tosoni, Alicia; Brandes, Alba Ariela] Azienda Unita Sanit Locale USL Bologna, Dept Med Oncol, Bologna, Italy; [Lodi, Raffaele] Ist Ricovero &amp; Cura Carattere Sci IRCCS, Ist Sci Neurol Bologna, Bologna, Italy</t>
  </si>
  <si>
    <t>Fondazione IRCCS Istituto Nazionale Tumori Milan; IRCCS Istituto delle Scienze Neurologiche di Bologna (ISNB)</t>
  </si>
  <si>
    <t>Franceschi, E (corresponding author), Azienda Unita Sanit Locale USL Bologna, Dept Med Oncol, Bologna, Italy.</t>
  </si>
  <si>
    <t>enricofra@yahoo.it</t>
  </si>
  <si>
    <t>franceschi, enrico/AAW-4451-2021; Tosoni, Alicia/AAC-2627-2022; DI NUNNO, VINCENZO/AAW-4446-2021; Di Nunno, Vincenzo/Q-8253-2018</t>
  </si>
  <si>
    <t xml:space="preserve">franceschi, enrico/0000-0001-9332-4677; Tosoni, Alicia/0000-0001-8662-7055; DI NUNNO, VINCENZO/0000-0003-4441-9834; </t>
  </si>
  <si>
    <t>10.1002/onco.13858</t>
  </si>
  <si>
    <t>WOS:000664635900001</t>
  </si>
  <si>
    <t>Leja, M; Line, A</t>
  </si>
  <si>
    <t>Leja, Marcis; Line, Aija</t>
  </si>
  <si>
    <t>Early detection of gastric cancer beyond endoscopy- new methods</t>
  </si>
  <si>
    <t>BEST PRACTICE &amp; RESEARCH CLINICAL GASTROENTEROLOGY</t>
  </si>
  <si>
    <t>Biomarkers; Gastric cancer; Methods</t>
  </si>
  <si>
    <t>CIRCULATING TUMOR-CELLS; CLINICAL-SIGNIFICANCE; ATROPHIC GASTRITIS; MESSENGER-RNA; SERUM; BIOMARKER; BLOOD; MICRORNAS; DIAGNOSIS; GHRELIN</t>
  </si>
  <si>
    <t>Early detection of gastric cancer is remaining a challenge. This review summarizes current knowledge on non-invasive methods that could be used for the purpose. The role of traditional cancer markers such as CEA, CA 72-4, CA 19-9, CA 15-3, and CA 12-5 lies mainly in therapy monitoring than early detection. Most extensive studied biomarkers (pepsinogens, ABC method) are aiming at the detection of pre cancerous lesions with modest sensitivity for cancer. Tests based on the detection of cancer-specific methylation patterns (PanSeer), circulating proteins and mutations in circulating tumour DNA (CancerSEEK), as well as miRNA panels have demonstrated promising results bringing those closer to practice. More extensive research is required before tests based on the detection of circulating tumour cells, extracellular vesicles and cell-free RNA could reach the practice. Detection of volatile organic compounds in the human breath is a promising development; sensor technologies for this purpose could be very attractive in screening settings. (c) 2021 Elsevier Ltd. All rights reserved.</t>
  </si>
  <si>
    <t>[Leja, Marcis] Univ Latvia, Inst Clin &amp; Prevent Med, 1 Gailezera Iela Iela, LV-1079 Riga, Latvia; [Line, Aija] Latvian Biomed Res &amp; Study Ctr, Riga, Latvia</t>
  </si>
  <si>
    <t>University of Latvia; Latvian Biomedical Research &amp; Study Centre</t>
  </si>
  <si>
    <t>Leja, M (corresponding author), Univ Latvia, Inst Clin &amp; Prevent Med, 1 Gailezera Iela Iela, LV-1079 Riga, Latvia.</t>
  </si>
  <si>
    <t>marcis.leja@lu.lv; aija@biomed.lu.lv</t>
  </si>
  <si>
    <t>Line, Aija/0000-0002-8492-4758</t>
  </si>
  <si>
    <t>1521-6918</t>
  </si>
  <si>
    <t>1532-1916</t>
  </si>
  <si>
    <t>50-51</t>
  </si>
  <si>
    <t>10.1016/j.bpg.2021.101731</t>
  </si>
  <si>
    <t>WOS:000648871800004</t>
  </si>
  <si>
    <t>Xia, YK; Wang, LL; Li, J; Chen, XQ; Lan, JM; Yan, A; Lei, Y; Yang, S; Yang, HH; Chen, JH</t>
  </si>
  <si>
    <t>Xia, Yaokun; Wang, Liangliang; Li, Juan; Chen, Xiangqi; Lan, Jianming; Yan, An; Lei, Yun; Yang, Sheng; Yang, Huanghao; Chen, Jinghua</t>
  </si>
  <si>
    <t>A Ratiometric Fluorescent Bioprobe Based on Carbon Dots and Acridone Derivate for Signal Amplification Detection Exosomal microRNA</t>
  </si>
  <si>
    <t>ENHANCED RAMAN-SCATTERING; LOCKED NUCLEIC-ACIDS; ELECTROCHEMICAL BIOSENSOR; EXTRACELLULAR VESICLES; PANCREATIC-CANCER; LABEL-FREE; CELL-FREE; DNA; BLOOD; SERUM</t>
  </si>
  <si>
    <t>Recently, sensitive and selective detection of exosomal microRNAs (miRNAs) has been garnering significant attention, because it is related to many complex diseases, including cancer. Herein, we report a ratiometric fluorescent bioprobe based on DNA-labeled carbon dots (DNA-CDs) and 5,7-dinitro-2-sulfo-acridone (DSA) coupling with the target-catalyzing signal amplification for the detection of exosomal miRNA-21. There was high fluorescence resonance energy transfer (FRET) efficiency between carbon dots (CDs) and DSA when the bioprobe was assembled. However, in the presence of the target, with disassembling of the fluorescent bioprobe, the fluorescence intensities of CDs and DSA were changed simultaneously. Because of the ratio of dual fluorescence intensities, this ratiometric fluorescent bioprobe was able to cancel out environmental fluctuations by calculating emission intensity ratio at two different wavelengths, being robust and stable enough for detection of exosomal miRNA-21. In addition, we displayed that a single miRNA-21 can catalyze the disassembly of multiple CDs with DSA theoretically, yielding significant change in the fluorescence ratio for the detection of miRNA-21. With this signal amplification strategy, the limit of detection was as low as 3.0 fM. Furthermore, because of the introduction of lock nucleic acid to mediate the strand displacement reaction, the selectivity of this strategy was improved remarkably, even against single base mismatch sequence. More importantly, our strategy could monitor the dynamic change of exosomal miRNA-21, which maybe becomes a potential tool to distinguish cancer exosomes and nontumorigenic exosomes. In a short, this ratiometric fluorescence bioprobe possessed high stability, sensitivity and selectivity coupling with ease of operation and cost efficiency, leading to great potential for wide application.</t>
  </si>
  <si>
    <t>[Xia, Yaokun; Wang, Liangliang; Lan, Jianming; Yan, An; Lei, Yun; Chen, Jinghua] Fujian Med Univ, Sch Pharm, Dept Pharmaceut Anal, Fuzhou 350108, Fujian, Peoples R China; [Li, Juan; Yang, Huanghao] Fuzhou Univ, MOE Key Lab Analyt Sci Food Safety &amp; Biol, State Key Lab Photocatalysis Energy &amp; Environm, Coll Chem, Fuzhou 350002, Fujian, Peoples R China; [Chen, Xiangqi] Fujian Med Univ Union Hosp, Dept Resp Med, Fuzhou 350001, Fujian, Peoples R China; [Yang, Sheng] Fujian Med Univ Union Hosp, Dept Med Oncol, Fuzhou 350001, Fujian, Peoples R China</t>
  </si>
  <si>
    <t>Fujian Medical University; Fuzhou University</t>
  </si>
  <si>
    <t>Chen, JH (corresponding author), Fujian Med Univ, Sch Pharm, Dept Pharmaceut Anal, Fuzhou 350108, Fujian, Peoples R China.;Yang, HH (corresponding author), Fuzhou Univ, MOE Key Lab Analyt Sci Food Safety &amp; Biol, State Key Lab Photocatalysis Energy &amp; Environm, Coll Chem, Fuzhou 350002, Fujian, Peoples R China.;Yang, S (corresponding author), Fujian Med Univ Union Hosp, Dept Med Oncol, Fuzhou 350001, Fujian, Peoples R China.</t>
  </si>
  <si>
    <t>dryangxh@126.com; hhyang@fzu.edu.cn; cjh_huaxue@126.com</t>
  </si>
  <si>
    <t>Yang, Huang-Hao/L-9905-2019; Chen, Jing-Hua/J-5171-2019</t>
  </si>
  <si>
    <t>10.1021/acs.analchem.8b01143</t>
  </si>
  <si>
    <t>WOS:000441476600035</t>
  </si>
  <si>
    <t>Zhang, Y; Sun, J; Lin, CC; Abemayor, E; Wang, MB; Wong, DTW</t>
  </si>
  <si>
    <t>Zhang, Yong; Sun, Jie; Lin, Chien-Chung; Abemayor, Elliot; Wang, Marilene B.; Wong, David T. W.</t>
  </si>
  <si>
    <t>The emerging landscape of salivary diagnostics</t>
  </si>
  <si>
    <t>PERIODONTOLOGY 2000</t>
  </si>
  <si>
    <t>FLIGHT MASS-SPECTROMETRY; PROMOTER HYPERMETHYLATION; MICRORNA EXPRESSION; CANCER STATISTICS; ORAL-CAVITY; BIOMARKERS; CELL; RNA; EXOSOMES; IDENTIFICATION</t>
  </si>
  <si>
    <t>Saliva contains a variety of biomolecules, including DNA, coding and noncoding RNA, proteins, metabolites and microbiota. The changes in the salivary levels of these molecular constituents can be used to develop markers for disease detection and risk assessment. Use of saliva as an early-detection tool is a promising approach because collection of saliva is easy and noninvasive. Here, we review recent developments in salivary diagnostics, accomplished using salivaomics approaches, including genomic, transcriptomic, proteomic, metabolomic and microbiomic technologies. Additionally, we illustrate the mechanisms of how diseases distal from the oralcavity can lead to the appearance of discriminatory biomarkers in saliva, and discuss the relevance of these markers for translational and clinical applications.</t>
  </si>
  <si>
    <t>Sun, Jie/M-9620-2013; Lin, Chien-Chung/T-1496-2019; sun, jie/H-8312-2018</t>
  </si>
  <si>
    <t xml:space="preserve">Sun, Jie/0000-0002-8368-3091; Lin, Chien-Chung/0000-0002-4739-5631; </t>
  </si>
  <si>
    <t>0906-6713</t>
  </si>
  <si>
    <t>1600-0757</t>
  </si>
  <si>
    <t>10.1111/prd.12099</t>
  </si>
  <si>
    <t>WOS:000366512400004</t>
  </si>
  <si>
    <t>Liu, QM; He, YY; Liu, LL; Wang, LK</t>
  </si>
  <si>
    <t>Liu, Qing-Min; He, Yi-Yu; Liu, Li-Li; Wang, Li-Kun</t>
  </si>
  <si>
    <t>Exosomal lncRNA HOTTIP Mediates Antiviral Effect of Tenofovir Alafenamide (TAF) on HBV Infection</t>
  </si>
  <si>
    <t>JOURNAL OF INFLAMMATION RESEARCH</t>
  </si>
  <si>
    <t>chronic hepatitis B; tenofovir alafenamide; exosome; lncRNA HOTTIP</t>
  </si>
  <si>
    <t>HEPATITIS-B-VIRUS; DISOPROXIL FUMARATE; DOUBLE-BLIND; EXPRESSION; PHASE-3; EMTRICITABINE; TRANSMISSION; ELVITEGRAVIR; COBICISTAT; THERAPY</t>
  </si>
  <si>
    <t>Introduction: Chronic hepatitis B (CHB) virus (HBV) infection has emerged as a global health burden affecting nearly 292 million people. Tenofovir alafenamide (TAF) is an effective treatment for CHB patients. However, the detailed mechanism underlying the antiviral activity of TAF remains unclear. Methods: In this study, we investigated the antiviral effect of exosomes derived from the serum of CHB patients treated with TAF (Exo-serum) and TAF-treated macrophages (MP) (Exo-MP(TAF)). Results: RNAseq analysis was also performed to determine the associated long non-coding RNAs (lncRNAs). The results demonstrated that both Exo-serum and Exo-MP(TAF) could be taken up by HepAD38 cells and exhibited potent antiviral activities, as manifested by significantly down-regulating the levels of hepatitis B surface antigen, hepatitis B e antigen, HBV DNA, and covalently closed circular DNA. The antiviral effect of Exo-serum was more potent than those of TAF treatment alone. RNAseq analysis revealed that lncRNA HOTTIP was upregulated significantly in Exo-serum. Further, lncRNA HOTTIP knockdown reversed the antiviral effect of Exo-MP(TAF) on HepAD38 cells, whereas lncRNA HOTTIP knockdown exerted the opposite roles. Discussion: Taken together, these results suggest that exosomal lncRNA HOTTIP is essential for the antiviral activity of TAF and provide a novel understanding of the exosome-mediated mechanism underlying HBV infection.</t>
  </si>
  <si>
    <t>[Liu, Qing-Min] Linyi Peoples Hosp, Intens Care Unit, Linyi, Shandong, Peoples R China; [He, Yi-Yu] Wuhan Univ, Renmin Hosp, Dept Cardiovasc Dis, Wuhan, Hubei, Peoples R China; [Liu, Li-Li] Linyi Peoples Hosp, Dept Pathol, Linyi, Shandong, Peoples R China; [Wang, Li-Kun] Linyi Peoples Hosp, Infect Control Ctr, Linyi, Shandong, Peoples R China</t>
  </si>
  <si>
    <t>Wuhan University</t>
  </si>
  <si>
    <t>Liu, LL (corresponding author), Linyi Peoples Hosp, Dept Pathol, Linyi, Shandong, Peoples R China.;Wang, LK (corresponding author), Linyi Peoples Hosp, Infect Control Ctr, Linyi, Shandong, Peoples R China.</t>
  </si>
  <si>
    <t>Lkwang999@163.com</t>
  </si>
  <si>
    <t>1178-7031</t>
  </si>
  <si>
    <t>10.2147/JIR.S315716</t>
  </si>
  <si>
    <t>WOS:000711051500005</t>
  </si>
  <si>
    <t>Yamada, H; Yatsushiro, S; Yamamoto, A; Hayashi, M; Nishi, T; Futai, M; Yamaguchi, A; Moriyama, Y</t>
  </si>
  <si>
    <t>Functional expression of a GLT-1 type Na+-dependent glutamate transporter in rat pinealocytes</t>
  </si>
  <si>
    <t>JOURNAL OF NEUROCHEMISTRY</t>
  </si>
  <si>
    <t>Na+-dependent glutamate transporter; pinealocyte; pineal gland; L-glutamate; GLT-1; reuptake; microvesicle; endocrine cell</t>
  </si>
  <si>
    <t>SYNAPTIC-LIKE MICROVESICLES; BRAIN; GLAND; ACID; INHIBITION; MECHANISM; MELATONIN; CULTURES; CELLS; NOREPINEPHRINE</t>
  </si>
  <si>
    <t>Pinealocytes, the neuroendocrine cells that produce melatonin, accumulate glutamate in microvesicles through a specific vesicular transporter energetically coupled with vacuolar-type proton ATPase. The glutamate is secreted into the extracellular space through microvesicle-mediated exocytosis and then stimulates neighboring pinealocytes, resulting in inhibition of norepinephrine-dependent melatonin synthesis. In this study, we identified and characterized the plasma membrane-type glutamate transporter in rat pinealocytes. The [H-3]-glutamate uptake by cultured pinealocytes was driven by extracellular Na+, saturated with the [H-3] glutamate concentration used, and significantly inhibited by L-glutamate, L-aspartate, beta-threo-hydroxyaspartale, pyrrolidine dicarboxylate, and L-cysteine sulfinate, substrates or inhibitors of the plasma membrane glutamate transporter. Consistently, the clearance of extracellular glutamate, as measured by HPLC, was also dependent on Nai and inhibited by beta-threo-hydroxyaspartate and L-cysteine sulfinate. Immunological studies with site-specific antibodies against three isoforms of the Na+-dependent glutamate transporter (GLT-1, GLAST, and EAAC1) revealed the expression of only the GLT-1 type transporter in pineal glands. Expression of the GLT-1 type transporter in pineal glands was further demonstrated by means of reverse transcription-polymerase chain reaction with specific DNA probes. Immunohistochemical analysis indicated that the immunological counterpart(s) of the GLT-1 is localized in pinealocytes. These results suggested that the GLT-1-type Na+-dependent transporter is expressed and functions as a reuptake system for glutamate in rat pinealocytes. The physiological role of the transporter in the termination of the glutamate signal in the pineal gland is discussed.</t>
  </si>
  <si>
    <t>OSAKA UNIV,INST SCI &amp; IND RES,DEPT CELL MEMBRANE BIOL,ISIR,IBARAKI,OSAKA 567,JAPAN; OSAKA UNIV,INST SCI &amp; IND RES,DEPT MOL CELL BIOL,ISIR,IBARAKI,OSAKA 567,JAPAN; KANSAI MED UNIV,DEPT PHYSIOL,OSAKA,JAPAN</t>
  </si>
  <si>
    <t>Osaka University; Osaka University; Kansai Medical University</t>
  </si>
  <si>
    <t>YAMADA, Hiroshi/B-2251-2011; Yamada, Hiroshi/AGZ-4497-2022</t>
  </si>
  <si>
    <t>Yamada, Hiroshi/0000-0002-9328-3446</t>
  </si>
  <si>
    <t>0022-3042</t>
  </si>
  <si>
    <t>WOS:A1997XX05700018</t>
  </si>
  <si>
    <t>Mugoni, V; Ciani, Y; Nardella, C; Demichelis, F</t>
  </si>
  <si>
    <t>Mugoni, Vera; Ciani, Yari; Nardella, Caterina; Demichelis, Francesca</t>
  </si>
  <si>
    <t>Circulating RNAs in prostate cancer patients</t>
  </si>
  <si>
    <t>Prostate cancer; exRNA; EV-RNA; Liquid biopsy; Transcriptomics; Computational biology; Biomarkers</t>
  </si>
  <si>
    <t>CELL-FREE RNA; LONG NONCODING RNAS; FREE NUCLEIC-ACIDS; EXTRACELLULAR VESICLES; EXOSOMAL RNA; LIQUID BIOPSIES; TISSUE EXPRESSION; HORMONAL-THERAPY; FREE DNA; MICRORNAS</t>
  </si>
  <si>
    <t>Growing bodies of evidence have demonstrated that the identification of prostate cancer (PCa) biomarkers in the patients' blood and urine may remarkably improve PCa diagnosis and progression monitoring. Among diverse cancer-derived circulating materials, extracellular RNA molecules (exRNAs) represent a compelling component to investigate cancer-related alterations. Once outside the intracellular environment, exRNAs circulate in biofluids either in association with protein complexes or encapsulated inside extracellular vesicles (EVs). Notably, EV-associated RNAs (EV-RNAs) were used for the development of several assays (such as the FDA-approved Progensa Prostate Cancer Antigen 3 (PCA3 test) aiming at improving early PCa detection. EV-RNAs encompass a mixture of species, including small non-coding RNAs (e.g. miRNA and circRNA), lncRNAs and mRNAs. Several methods have been proposed to isolate EVs and relevant RNAs, and to perform RNA-Seq studies to identify potential cancer biomarkers. However, EVs in the circulation of a cancer patient include a multitude of diverse populations that are released by both cancer and normal cells from different tissues, thereby leading to a heterogeneous EV-RNA-associated transcriptional signal. Decrypting the complexity of such a composite signal is nowadays the major challenge faced in the identification of specific tumor-associated RNAs. Multiple deconvolution algorithms have been proposed so far to infer the enrichment of cancer-specific signals from gene expression data. However, novel strategies for EVs sorting and sequencing of RNA associated to single EVs populations will remarkably facilitate the identification of cancer-related molecules. Altogether, the studies summarized here demonstrate the high potential of using EV-RNA biomarkers in PCa and highlight the urgent need of improving technologies and computational approaches to characterize specific EVs populations and their relevant RNA cargo.</t>
  </si>
  <si>
    <t>[Mugoni, Vera; Ciani, Yari; Nardella, Caterina; Demichelis, Francesca] Univ Trento, Dept Cellular Computat &amp; Integrat Biol CIBIO, Trento, Italy</t>
  </si>
  <si>
    <t>Demichelis, F (corresponding author), Univ Trento, Dept Cellular Computat &amp; Integrat Biol CIBIO, Trento, Italy.</t>
  </si>
  <si>
    <t>f.demichelis@unitn.it</t>
  </si>
  <si>
    <t>Demichelis, Francesca/J-9829-2016</t>
  </si>
  <si>
    <t>Demichelis, Francesca/0000-0002-8266-8631; Nardella, Caterina/0000-0002-1901-7916; Ciani, Yari/0000-0002-9635-2830</t>
  </si>
  <si>
    <t>10.1016/j.canlet.2021.10.011</t>
  </si>
  <si>
    <t>WOS:000708796000002</t>
  </si>
  <si>
    <t>Xia, YK; Huang, ZN; Chen, TT; Xu, LL; Zhu, GZ; Chen, WQ; Chen, GY; Wu, SX; Lan, JM; Lin, X; Chen, JH</t>
  </si>
  <si>
    <t>Xia, Yaokun; Huang, Zening; Chen, Tingting; Xu, Lilan; Zhu, Gengzhen; Chen, Wenqian; Chen, Guanyu; Wu, Shuxiang; Lan, Jianming; Lin, Xu; Chen, Jinghua</t>
  </si>
  <si>
    <t>Sensitive fluorescent detection of exosomal microRNA based on enzymes-assisted dual-signal amplification</t>
  </si>
  <si>
    <t>Gastric cancer; Exosomal microRNA; Signal amplification; Clinical sample; Fluorescence</t>
  </si>
  <si>
    <t>ELECTROCHEMICAL BIOSENSOR; CLASSIFICATION</t>
  </si>
  <si>
    <t>The analysis of microRNAs (miRNAs) in exosomes offers significant information for a rapid and non-invasive diagnosis of cancer. However, the clinical utility of miRNAs as biomarkers is often hampered by their low abundance in exosomes. Herein, we develop a dual-signal amplification biosensor for the sensitive detection of exosomal miRNA-21 (miR-21). In the presence of a cognate target, it hybridizes with a biotin-modified capture probe (Cp) to form a DNA-RNA heteroduplex that serves as a substrate for duplex-specific nuclease (DSN). With the assistance of DSN, the Cps are enzymatically hydrolyzed and numerous DNA catalysts are released, leading to the first signal amplification. After magnetic isolation, the DNA catalyst remaining in the supernatant triggers a strand displacement reaction based on the nicking-assisted reactant recycling strategy, without depleting the reactants, to implement the second signal amplification. Using this dual-signal amplification concept, our biosensor achieves a limit of detection of miR-21 of 0.34 fM, with a linear range of 0.5-100 fM. The receiver operating characteristic curve generated during clinical sample analysis indicates that the exosomal miR-21 outperforms serum carcinoembryonic antigen in discriminating between patients with gastric cancer (GC) and patients with precancerous (PC) lesions (area under the curve: 0.89 versus 0.74, n = 40). Moreover, the proposed biosensor exhibits an 83.9% accuracy in classifying patients with GC or PC lesions and healthy donors using a confusion matrix. Furthermore, patients with GC with or without metastases are discriminated using the pro-posed biosensor. Our technology may expand the applications of DNA-based biosensor-enabled cancer diagnostic tools.</t>
  </si>
  <si>
    <t>[Xia, Yaokun; Wu, Shuxiang; Lin, Xu] Fujian Med Univ, Sch Basic Med Sci, Key Lab Minist Educ Gastrointestinal Canc, Fuzhou 350108, Fujian, Peoples R China; [Huang, Zening] Fujian Med Univ, Dept Gastr Surg, Union Hosp, Fuzhou 350001, Fujian, Peoples R China; [Chen, Tingting; Xu, Lilan; Zhu, Gengzhen; Chen, Wenqian; Chen, Guanyu; Lan, Jianming; Chen, Jinghua] Fujian Med Univ, Sch Pharm, Fuzhou 350108, Fujian, Peoples R China</t>
  </si>
  <si>
    <t>Fujian Medical University; Fujian Medical University; Fujian Medical University</t>
  </si>
  <si>
    <t>Lin, X (corresponding author), Fujian Med Univ, Sch Basic Med Sci, Key Lab Minist Educ Gastrointestinal Canc, Fuzhou 350108, Fujian, Peoples R China.;Chen, JH (corresponding author), Fujian Med Univ, Sch Pharm, Fuzhou 350108, Fujian, Peoples R China.</t>
  </si>
  <si>
    <t>linxu@mail.fjmu.edu.cn; cjh_huaxue@126.com</t>
  </si>
  <si>
    <t>10.1016/j.bios.2022.114259</t>
  </si>
  <si>
    <t>WOS:000797140300006</t>
  </si>
  <si>
    <t>Guibourdenche, J; Leguy, MC; Tsatsaris, V</t>
  </si>
  <si>
    <t>Guibourdenche, Jean; Leguy, Marie-Clemence; Tsatsaris, Vassilis</t>
  </si>
  <si>
    <t>Biology and markers of preeclampsia</t>
  </si>
  <si>
    <t>ANNALES DE BIOLOGIE CLINIQUE</t>
  </si>
  <si>
    <t>human pregnancy; placenta; invasion; endothelium; maternal serum</t>
  </si>
  <si>
    <t>ENDOTHELIAL DYSFUNCTION; ANGIOGENIC FACTORS; PATHOPHYSIOLOGY; IMMUNOLOGY; ISCHEMIA</t>
  </si>
  <si>
    <t>Preeclampsia is a syndrome specific of pregnancy and placenta diagnosed after 20 WG on the association of an hypertension and a proteinuria. It is responsible for significant maternal-fetal morbidity and mortality which justify the development of markers for screening, diagnosis and prognosis. These markers are actors or witnesses to the various stages and mechanisms of the disease : the initial defect of trophoblast invasion and remodeling of uterine arteries (proteases [PAPP-A, ADAM-12, uPA, MMPs], their inhibitors, and angiogenic factors [PlGF, sflt-1, s-eng]) which induces hydrostatic abnormalities (uterine doppler) and placental hypoperfusion with dysoxia (HIF-1 alpha) and oxidative stress (free radicals, peroxynitrites, oxidized LDL). This results in impaired placental functions including endocrine and metabolic functions (hCG, leptin) with increase in placental apoptosis and necrosis with the release of exosomes and toxic placental fragments (STBM) and their content (RNA, DNA and proteins). This fragments amplify the gestational inflammation (IL6, TNF alpha; activation of leukocytes and macrophages [elastase, neopterin] and complement) and lead to a deterioration of the maternal endothelium (vasoconstriction [ET2, TxA2]; platelet adhesion [sVCAM - 1 alpha), aggregation and activation; impaired vascular permeability) generating edema, hypertension, atherosclerosis and glomerular nephropathy (proteinuria, hyperuricemia). Other markers such as PP13 and PTX3 seem of interest even if their functions are poorly understood. Preeclampsia develops on a predisposed maternal environment (genetic, epigenetic infectious, and endocrine factors) characterized by a maternal inadequacy to pregnancy.</t>
  </si>
  <si>
    <t>[Guibourdenche, Jean; Leguy, Marie-Clemence] Hop Cochin, AP HP, Serv Biol Hormonale &amp; Metab, F-75674 Paris, France; [Guibourdenche, Jean; Tsatsaris, Vassilis] Univ Paris 05, Fac Pharm, INSERM, U767, Paris, France; [Guibourdenche, Jean; Tsatsaris, Vassilis] Univ Paris 05, Fac Pharm, Fdn PremUp, Paris, France; [Tsatsaris, Vassilis] Hop Cochin, AP HP, Matern Port Royal, F-75674 Paris, France</t>
  </si>
  <si>
    <t>Assistance Publique Hopitaux Paris (APHP); Hopital Universitaire Cochin - APHP; UDICE-French Research Universities; Universite de Paris; Institut National de la Sante et de la Recherche Medicale (Inserm); UDICE-French Research Universities; Universite de Paris; UDICE-French Research Universities; Universite de Paris; Assistance Publique Hopitaux Paris (APHP); Hopital Universitaire Cochin - APHP; UDICE-French Research Universities; Universite de Paris</t>
  </si>
  <si>
    <t>Guibourdenche, J (corresponding author), Hop Cochin, AP HP, Serv Biol Hormonale &amp; Metab, 27 Rue Faubourg St Jacques, F-75674 Paris, France.</t>
  </si>
  <si>
    <t>jean.guibourdenche@cch.aphp.fr</t>
  </si>
  <si>
    <t>0003-3898</t>
  </si>
  <si>
    <t>1950-6112</t>
  </si>
  <si>
    <t>10.1684/abc.2013.0903</t>
  </si>
  <si>
    <t>Medical Laboratory Technology; Medicine, Research &amp; Experimental</t>
  </si>
  <si>
    <t>Medical Laboratory Technology; Research &amp; Experimental Medicine</t>
  </si>
  <si>
    <t>WOS:000209472300010</t>
  </si>
  <si>
    <t>Ziegler, A; Seelig, J</t>
  </si>
  <si>
    <t>Ziegler, Andre; Seelig, Joachim</t>
  </si>
  <si>
    <t>Contributions of Glycosaminoglycan Binding and Clustering to the Biological Uptake of the Nonamphipathic Cell-Penetrating Peptide WR9</t>
  </si>
  <si>
    <t>PROTEIN TRANSDUCTION DOMAINS; ARGININE-RICH PEPTIDES; NONVIRAL GENE DELIVERY; DNA COMPLEXES; HIGH-AFFINITY; ENTERS CELLS; MEMBRANE; TAT; SURFACE; PROTEOGLYCANS</t>
  </si>
  <si>
    <t>Many cell-penetrating peptides (CPPs) bind to glycosaminoglycans (GAG) located on the extracellular side of biological tissues. CPP binding to the cell surface is intimately associated with clustering of surface molecules and is usually followed by uptake into the cell interior. We have investigated the uptake mechanism by comparing CPPs which bind, but cannot induce, GAG clustering with those which do induce GAG clustering. We have synthesized the tryptophan-labeled CPP nona-L-arginine (WR9) and its monodispersely PEGylated derivate (PEG(27)-WR9) and have compared them with respect to glycan binding, glycan clustering, and their uptake into living cells. Both CPPs bind to the GAG heparin with high affinity (K-D similar to 100 nM), but the PEGylation prevents the GAG clustering. Thus, it is possible to uncouple and analyze the contributions of GAG binding and GAG clustering to the biological CPP uptake. The uptake of PEG-WR9 into CH-K1 cells is confined to intracellular vesicles, where colocalization with transferrin attests to an endocytic uptake. Transfection experiments with plasmid DNA for GFP revealed poor GFP expression, suggesting that endocytic uptake of PEG-WR9 is compromised by insufficient release from endocytic vesicles. In contrast, WR9 shows two uptake routes. At low concentration (&lt;5 mu M), WR9 uptake occurs mainly through endocytosis. At higher concentration, WR9 uptake is greatly enhanced, showing a diffuse spreading over the entire cytoplasm and nucleus-a phenomenon termed transduction. Transduction of WR9 leads to a higher GFP expression as compared to PEG-WR9 endocytosis but also damages the plasma membrane as evidenced by SYTOX Green staining. The results suggest that GAG binding without and with GAG clustering induce two different pathways of CPP uptake.</t>
  </si>
  <si>
    <t>[Ziegler, Andre; Seelig, Joachim] Univ Basel, Biozentrum, Dept Biophys Chem, CH-4056 Basel, Switzerland</t>
  </si>
  <si>
    <t>University of Basel</t>
  </si>
  <si>
    <t>Ziegler, A (corresponding author), Univ Basel, Biozentrum, Dept Biophys Chem, Klingelbergstr 50-70, CH-4056 Basel, Switzerland.</t>
  </si>
  <si>
    <t>andre.ziegler@unibas.ch</t>
  </si>
  <si>
    <t>MAY 31</t>
  </si>
  <si>
    <t>10.1021/bi1019429</t>
  </si>
  <si>
    <t>WOS:000290837400026</t>
  </si>
  <si>
    <t>Finotti, A; Allegretti, M; Gasparello, J; Giacomini, P; Spandidos, DA; Spoto, G; Gambari, R</t>
  </si>
  <si>
    <t>Finotti, Alessia; Allegretti, Matteo; Gasparello, Jessica; Giacomini, Patrizio; Spandidos, Demetrios A.; Spoto, Giuseppe; Gambari, Roberto</t>
  </si>
  <si>
    <t>Liquid biopsy and PCR-free ultrasensitive detection systems in oncology (Review)</t>
  </si>
  <si>
    <t>INTERNATIONAL JOURNAL OF ONCOLOGY</t>
  </si>
  <si>
    <t>liquid biopsy; circulating tumor cells; circulating free DNA; microRNA</t>
  </si>
  <si>
    <t>CIRCULATING TUMOR DNA; CELL-FREE DNA; DROPLET DIGITAL PCR; SERUM MICRORNA; COLORECTAL-CANCER; BREAST-CANCER; HEPATOCELLULAR-CARCINOMA; PROGNOSTIC BIOMARKER; POTENTIAL BIOMARKER; PROSTATE-CANCER</t>
  </si>
  <si>
    <t>In oncology, liquid biopsy is used in the detection of next-generation analytes, such as tumor cells, cell-free nucleic acids and exosomes in peripheral blood and other body fluids from cancer patients. It is considered one of the most advanced non-invasive diagnostic systems to enable clinically relevant actions and implement precision medicine. Medical actions include, but are not limited to, early diagnosis, staging, prognosis, anticipation (lead time) and the prediction of therapy responses, as well as follow-up. Historically, the applications of liquid biopsy in cancer have focused on circulating tumor cells (CTCs). More recently, this analysis has been extended to circulating free DNA (cfDNA) and microRNAs (miRNAs or miRs) associated with cancer, with potential applications for development into multi-marker diagnostic, prognostic and therapeutic signatures. Liquid biopsies avoid some key limitations of conventional tumor tissue biopsies, including invasive tumor sampling, under-representation of tumor heterogeneity and poor description of clonal evolution during metastatic dissemination, strongly reducing the need for multiple sampling. On the other hand, this approach suffers from important drawbacks, i.e., the fragmentation of cfDNA, the instability of RNA, the low concentrations of certain analytes in body fluids and the confounding presence of normal, as well as aberrant DNAs and RNAs. For these reasons, the analysis of cfDNA has been mostly focused on mutations arising in, and pathognomonicity of, tumor DNA, while the analysis of cfRNA has been mostly focused on miRNA patterns strongly associated with neoplastic transformation/progression. This review lists some major applicative areas, briefly addresses how technology is bypassing liquid biopsy limitations, and places a particular emphasis on novel, PCR-free platforms. The ongoing collaborative efforts of major international consortia are reviewed. In addition to basic and applied research, we will consider technological transfer, including patents, patent applications and available information on clinical trials aimed at verifying the potential of liquid biopsy in cancer.</t>
  </si>
  <si>
    <t>[Finotti, Alessia; Gasparello, Jessica; Gambari, Roberto] Ferrara Univ, Dept Life Sci &amp; Biotechnol, I-44121 Ferrara, Italy; [Allegretti, Matteo; Giacomini, Patrizio] IRCCS Regina Elena Natl Canc Inst, Oncogen &amp; Epigenet Unit, I-00144 Rome, Italy; [Spandidos, Demetrios A.] Univ Crete, Sch Med, Lab Clin Virol, Iraklion 71003, Crete, Greece; [Spoto, Giuseppe] Catania Univ, Dept Chem, I-95125 Catania, Italy; [Spoto, Giuseppe] Catania Univ, Dept Chem, INBB Consortium, I-95125 Catania, Italy; [Gambari, Roberto] Interuniv Consortium Biotechnol CIB, I-34012 Trieste, Italy</t>
  </si>
  <si>
    <t>University of Ferrara; Arcispedale Sant'Anna; University of Crete; University of Catania; University of Catania</t>
  </si>
  <si>
    <t>Gambari, R (corresponding author), Ferrara Univ, Dept Life Sci &amp; Biotechnol, Biochem &amp; Mol Biol Sect, Via Fossato di Mortara 74, I-44121 Ferrara, Italy.</t>
  </si>
  <si>
    <t>gam@unife.it</t>
  </si>
  <si>
    <t>Finotti, Alessia/C-6268-2012; Giacomini, Patrizio/K-5217-2016; Allegretti, Matteo/K-3862-2018; Gasparello, Jessica/N-6975-2018</t>
  </si>
  <si>
    <t>Finotti, Alessia/0000-0002-7638-515X; Giacomini, Patrizio/0000-0001-6109-1709; Allegretti, Matteo/0000-0003-3398-8775; Spoto, Giuseppe/0000-0003-3201-8689; Gasparello, Jessica/0000-0001-8557-0739; Spandidos, Demetrios/0000-0002-1146-931X</t>
  </si>
  <si>
    <t>1019-6439</t>
  </si>
  <si>
    <t>1791-2423</t>
  </si>
  <si>
    <t>10.3892/ijo.2018.4516</t>
  </si>
  <si>
    <t>WOS:000442971100001</t>
  </si>
  <si>
    <t>Behrmann, A; Zhong, DL; Li, L; Cheng, SL; Mead, M; Ramachandran, B; Sabaeifard, P; Goodarzi, M; Lemoff, A; Kronenberg, HM; Towler, DA</t>
  </si>
  <si>
    <t>Behrmann, Abraham; Zhong, Dalian; Li, Li; Cheng, Su-Li; Mead, Megan; Ramachandran, Bindu; Sabaeifard, Parastoo; Goodarzi, Mohammad; Lemoff, Andrew; Kronenberg, Henry M.; Towler, Dwight A.</t>
  </si>
  <si>
    <t>PTH/PTHrP Receptor Signaling Restricts Arterial Fibrosis in Diabetic LDLR-/- Mice by Inhibiting Myocardin-Related Transcription Factor Relays</t>
  </si>
  <si>
    <t>CIRCULATION RESEARCH</t>
  </si>
  <si>
    <t>arteriosclerosis; cardiovascular diseases; collagen; fibrosis; transcription factors</t>
  </si>
  <si>
    <t>SERUM RESPONSE FACTOR; PARATHYROID-HORMONE; PRIMARY HYPERPARATHYROIDISM; ARTERIOSCLEROTIC CALCIFICATION; AORTIC FIBROSIS; GENE-EXPRESSION; AUDIT RESEARCH; ACTIVATION; IDENTIFICATION; STIFFNESS</t>
  </si>
  <si>
    <t>Rationale: The PTH1R (PTH [parathyroid hormone]/PTHrP [PTH-related protein] receptor) is expressed in vascular smooth muscle (VSM) and increased VSM PTH1R signaling mitigates diet-induced arteriosclerosis in LDLR-/- mice. Objective: To study the impact of VSM PTH1R deficiency, we generated mice SM22-Cre:PTH1R(fl/fl);LDLR-/- mice (PTH1R-VKO) and Cre-negative controls. Methods and Results: Immunofluorescence and Western blot confirmed PTH1R expression in arterial VSM that was reduced by Cre-mediated knockout. PTH1R-VKO cohorts exhibited increased aortic collagen accumulation in vivo, and VSM cultures from PTH1R-VKO mice elaborated more collagen (2.5-fold; P=0.01) with elevated Col3a1 and Col1a1 expression. To better understand these profibrotic responses, we performed mass spectrometry on nuclear proteins extracted from Cre-negative controls and PTH1R-VKO VSM. PTH1R deficiency reduced Gata6 but upregulated the MADS (MCM1, Agamous, Deficiens, and Srf DNA-binding domain)-box transcriptional co-regulator, Mkl-1 (megakaryoblastic leukemia [translocation] 1). Co-transfection assays (Col3a1 promoter-luciferase reporter) confirmed PTH1R-mediated inhibition and Mkl-1-mediated activation of Col3a1 transcription. Regulation mapped to a conserved hybrid CT(A/T)(6)GG MADS-box cognate in the Col3a1 promoter. Mutations of C/G in this motif markedly reduced Col3a1 transcriptional regulation by PTH1R and Mkl-1. Upregulation of Col3a1 and Col1a1 in PTH1R-VKO VSM was inhibited by small interfering RNA targeting Mkl1 and by treatment with the Mkl-1 antagonist CCG1423 or the Rock (Rho-associated coiled-coil containing protein kinase)-2 inhibitor KD025. Chromatin precipitation demonstrated that VSM PTH1R deficiency increased Mkl-1 binding to Col3a1 and Col1a1, but not TNF, promoters. Proteomic studies of plasma extracellular vesicles and VSM from PTH1R-VKO mice identified C1r (complement component 1, r) and C1s (complement component 1, s), complement proteins involved in vascular collagen metabolism, as potential biomarkers. VSM C1r protein and C1r message were increased with PTH1R deficiency, mediated by Mkl-1-dependent transcription and inhibited by CCG1423 or KD025. Conclusions: PTH1R signaling restricts collagen production in the VSM lineage, in part, via Mkl-1 regulatory circuits that control collagen gene transcription. Strategies that maintain homeostatic VSM PTH1R signaling, as reflected in extracellular vesicle biomarkers of VSM PTH1R/Mkl-1 action, may help mitigate arteriosclerosis and vascular fibrosis.</t>
  </si>
  <si>
    <t>[Behrmann, Abraham; Zhong, Dalian; Li, Li; Cheng, Su-Li; Mead, Megan; Ramachandran, Bindu; Sabaeifard, Parastoo; Towler, Dwight A.] UT Southwestern Med Ctr, Endocrine Div, Internal Med, 5323 Harry Hines Blvd, Dallas, TX 75390 USA; [Goodarzi, Mohammad; Lemoff, Andrew] UT Southwestern Med Ctr, Biochem, Dallas, TX 75390 USA; [Kronenberg, Henry M.] Harvard Med Sch, Massachusetts Gen Hosp, Endocrine Unit, Boston, MA 02115 USA</t>
  </si>
  <si>
    <t>University of Texas System; University of Texas Southwestern Medical Center Dallas; University of Texas System; University of Texas Southwestern Medical Center Dallas; Harvard University; Harvard Medical School; Massachusetts General Hospital</t>
  </si>
  <si>
    <t>Towler, DA (corresponding author), UT Southwestern Med Ctr, Endocrine Div, Internal Med, 5323 Harry Hines Blvd, Dallas, TX 75390 USA.</t>
  </si>
  <si>
    <t>dwight.towler@utsouthwestern.edu</t>
  </si>
  <si>
    <t>Sabaeifard, Parastoo/0000-0002-1057-5858; Lemoff, Andrew/0000-0002-4943-0170; Towler, Dwight/0000-0003-2107-7923</t>
  </si>
  <si>
    <t>0009-7330</t>
  </si>
  <si>
    <t>1524-4571</t>
  </si>
  <si>
    <t>MAY 8</t>
  </si>
  <si>
    <t>10.1161/CIRCRESAHA.119.316141</t>
  </si>
  <si>
    <t>WOS:000533878100014</t>
  </si>
  <si>
    <t>Handa, T; Kuroha, M; Nagai, H; Shimoyama, Y; Naito, T; Moroi, R; Kanazawa, Y; Shiga, H; Kakuta, Y; Kinouchi, Y; Masamune, A</t>
  </si>
  <si>
    <t>Handa, Tomoyuki; Kuroha, Masatake; Nagai, Hiroshi; Shimoyama, Yusuke; Naito, Takeo; Moroi, Rintaro; Kanazawa, Yoshitake; Shiga, Hisashi; Kakuta, Yoichi; Kinouchi, Yoshitaka; Masamune, Atsushi</t>
  </si>
  <si>
    <t>Liquid Biopsy for Colorectal Adenoma: Is the Exosomal miRNA Derived From Organoid a Potential Diagnostic Biomarker?</t>
  </si>
  <si>
    <t>CLINICAL AND TRANSLATIONAL GASTROENTEROLOGY</t>
  </si>
  <si>
    <t>MULTITARGET STOOL DNA; PROGNOSTIC BIOMARKER; INTESTINAL ORGANOIDS; CANCER; MICRORNAS; PREVENTION; COLON; POLYPECTOMY; COLONOSCOPY; GRADE</t>
  </si>
  <si>
    <t>INTRODUCTION: MicroRNAs (miRNAs) can serve as tumor biomarkers; however, their role in evaluating colorectal adenoma (CRA) is unclear. Recently, the organoid culture system enabled long-term expansion of human colon epithelium. This study aimed to examine the potential of exosomal miRNAs extracted from CRA organoids as biomarkers in the clinical liquid biopsy CRA test. METHODS: We established organoid cultures from normal colon and CRA using resected specimens. Exosomes were isolated from the conditioned medium organoids. MiRNAs were isolated from the exosomes, and their expression profiles were compared using microarray analysis. To identify miRNA candidates for liquid biopsy, we prospectively compared changes in their expression in serum and exosomes before and after endoscopic resection in 26 patients with CRA. RESULTS: Seven exosomal miRNAs were overexpressed in CRA organoids: miR-4323, miR-4284, miR-1268a, miR-1290, miR-6766-3p, miR-21-5p, and miR-1246. The expression levels of 4 exosomal miRNAs (miR-4323, miR-4284, miR-1290, and miR-1246) and 2 serum miRNAs (miR-1290 and miR-1246) were significantly lower in posttreatment sera. The combined expression of 4 exosomal miRNAs could identify both CRA and large-size (&gt;12.6 cm(2)) CRA with respective areas under the curve of 0.698 (95% confidence interval [CI] = 0.536-0.823) and 0.834 (95% CI = 0.660-0.929). Combinations of 2-serum miRNA expression values could identify both CRA and large-size CRA with respective area under the curves of 0.691 (95% CI = 0.528-0.817) and 0.834 (95% CI = 0.628-0.938). DISCUSSION: We found that exosomal miRNAs derived from the CRA organoid culture could be potential diagnostic biomarkers for CRA.</t>
  </si>
  <si>
    <t>[Handa, Tomoyuki; Kuroha, Masatake; Shimoyama, Yusuke; Naito, Takeo; Moroi, Rintaro; Kanazawa, Yoshitake; Shiga, Hisashi; Kakuta, Yoichi; Masamune, Atsushi] Tohoku Univ, Div Gastroenterol, Grad Sch Med, Sendai, Miyagi, Japan; [Nagai, Hiroshi] Shirakawa Kosei Gen Hosp, Dept Gastroenterol, Fukushima, Japan; [Kinouchi, Yoshitaka] Tohoku Univ, Hlth Adm Ctr, Ctr Adv Higher Educ, Sendai, Miyagi, Japan</t>
  </si>
  <si>
    <t>Tohoku University; Tohoku University</t>
  </si>
  <si>
    <t>Kuroha, M (corresponding author), Tohoku Univ, Div Gastroenterol, Grad Sch Med, Sendai, Miyagi, Japan.</t>
  </si>
  <si>
    <t>kuroha@med.tohoku.ac.jp</t>
  </si>
  <si>
    <t>2155-384X</t>
  </si>
  <si>
    <t>e00356</t>
  </si>
  <si>
    <t>10.14309/ctg.0000000000000356</t>
  </si>
  <si>
    <t>WOS:000681350500017</t>
  </si>
  <si>
    <t>Pisetsky, DS; Spencer, DM; Mobarrez, F; Fuzzi, E; Gunnarsson, I; Svenungsson, E</t>
  </si>
  <si>
    <t>Pisetsky, David S.; Spencer, Diane M.; Mobarrez, Fariborz; Fuzzi, Enrico; Gunnarsson, Iva; Svenungsson, Elisabet</t>
  </si>
  <si>
    <t>The binding of SLE autoantibodies to mitochondria</t>
  </si>
  <si>
    <t>CLINICAL IMMUNOLOGY</t>
  </si>
  <si>
    <t>Systemic lupus erythematosus; Mitochondria; Microparticles; Immune complexes; Anti-DNA; Anti-mitochondrial antibodies; Primary biliary cholangitis; ELISA</t>
  </si>
  <si>
    <t>SYSTEMIC-LUPUS-ERYTHEMATOSUS; RAT-LIVER MITOCHONDRIA; DISEASE-ACTIVITY INDEX; ANTIMITOCHONDRIAL ANTIBODIES; EXTRACELLULAR VESICLES; IMMUNE-COMPLEXES; MICROPARTICLES; PROTEIN; ELIMINATION; CARDIOLIPIN</t>
  </si>
  <si>
    <t>Systemic lupus erythematosus (SLE) is a prototypic autoimmune disease characterized by immune complexes. Because these complexes contain mitochondrial components, we assessed the presence of antibodies to whole mitochondria (wMITO) using an ELISA in which mitochondria from mouse liver are bound to microtiter plates pre-coated with poly-L-lysine. Studies with this ELISA demonstrated that SLE plasmas contain abundant anti-wMITO activity. While digestion with DNase 1 did not affect anti-wMITO activity, adsorption of plasma on DNA affinity columns could reduce binding activity. Assay for anti-mitochondrial antibodies (AMA) by immunofluorescence and an ELISA with the M2 antigen (2-oxo-acid dehydrogenase protein complex) showed a low frequency of positivity, indicating that AMA and anti-wMITO are distinct specificities. In the study of 204 patients with SLE, the levels of anti-wMITO were higher in active SLE and correlated with levels of anti-DNA. These findings suggest that anti-wMITO can form immune complexes with mitochondria which may drive pathogenesis.</t>
  </si>
  <si>
    <t>[Pisetsky, David S.; Spencer, Diane M.] Duke Univ, Med Ctr, Div Rheumatol &amp; Immunol, Durham, NC 27705 USA; [Pisetsky, David S.] VA Med Ctr, Med Res Serv, Durham, NC USA; [Mobarrez, Fariborz; Fuzzi, Enrico; Gunnarsson, Iva; Svenungsson, Elisabet] Karolinska Univ Hosp, Karolinska Inst, Dept Med, Unit Rheumatol, Stockholm, Sweden; [Mobarrez, Fariborz] Uppsala Univ, Dept Med Sci, Uppsala, Sweden; [Fuzzi, Enrico] Univ Padua, Dept Med, Div Rheumatol, Padua, Italy</t>
  </si>
  <si>
    <t>Duke University; Karolinska Institutet; Karolinska University Hospital; Uppsala University; University of Padua</t>
  </si>
  <si>
    <t>Pisetsky, DS (corresponding author), Duke Univ, Med Ctr, Med &amp; Immunol, 151G Durham VAMC,508 Fulton St, Durham, NC 27705 USA.</t>
  </si>
  <si>
    <t>david.pisetsky@duke.edu</t>
  </si>
  <si>
    <t>Mobarrez, Fariborz/AAK-8929-2020</t>
  </si>
  <si>
    <t>Mobarrez, Fariborz/0000-0002-7106-6248; Svenungsson, Elisabet/0000-0003-3396-3244</t>
  </si>
  <si>
    <t>1521-6616</t>
  </si>
  <si>
    <t>1521-7035</t>
  </si>
  <si>
    <t>10.1016/j.clim.2020.108349</t>
  </si>
  <si>
    <t>WOS:000520947700010</t>
  </si>
  <si>
    <t>Wang, XX; Cao, QN; Shi, YG; Wu, XL; Mi, Y; Liu, K; Kan, QC; Fan, RT; Liu, ZS; Zhang, MZ</t>
  </si>
  <si>
    <t>Wang, Xinxin; Cao, Qinchen; Shi, Yonggang; Wu, Xiaolong; Mi, Yin; Liu, Ke; Kan, Quancheng; Fan, Ruitai; Liu, Zhangsuo; Zhang, Mingzhi</t>
  </si>
  <si>
    <t>Identification of low-dose radiation-induced exosomal circ- METRN and miR-4709-3p/GRB14/PDGFR alpha pathway as a key regulatory mechanism in Glioblastoma progression and radioresistance: Functional validation and clinical theranostic significance</t>
  </si>
  <si>
    <t>INTERNATIONAL JOURNAL OF BIOLOGICAL SCIENCES</t>
  </si>
  <si>
    <t>glioblastoma; low-dose radiation; exosome; circ-METRN; progression</t>
  </si>
  <si>
    <t>EPITHELIAL-MESENCHYMAL TRANSITION; CANCER-CELLS; GLIOMA PROGRESSION; COLORECTAL-CANCER; GROWTH; THERAPY; METASTASIS; RESISTANCE; GRB14; PROLIFERATION</t>
  </si>
  <si>
    <t>Glioblastoma is a central nervous malignancy with a very poor prognosis. This study attempted to explore the role of exosomes induced by low-dose radiation-induced (ldrEXOs) and ldrEXOs-derived circ-METRN in glioblastoma progression and radioresistance at the molecular, cellular, animal, and clinical levels. Results in the present study revealed that low-dose radiation stimulated the secretion of ldrEXOs which delivered high levels of circ-METRN. And circ-METRN-abundant ldrEXOs increased the expression of ?-H2AX, indicating an efficient DNA damage-repair process in glioblastoma cells. The ldrEXOs-derived circ-METRN enhanced the glioblastoma progression and radioresistance via miR-4709-3p/GRB14/PDGFR? pathway. Up-regulating PDGFR? can rescue the tumor-promoting function of ldrEXOs in groups previously treated with inhibition of GRB14. Additionally, in-vivo experiments revealed that treatments with ldrEXOs promoted the growth of xenografted tumors and shortened the survival period. Furthermore, clinical researches indicated that circ-METRN may be transported into the bloodstream by exosomes in the early stages of fractionated radiotherapy. It has important clinical values to detect the serum exosomal circ-METRN in the early stage of radiotherapy, Glioblastoma is a central nervous malignancy with a very poor prognosis. This study attempted to explore the role of exosomes induced by low-dose radiation-induced (ldrEXOs) and ldrEXOs-derived circ-METRN in glioblastoma progression and radioresistance at the molecular, cellular, animal, and clinical levels. Results in the present study revealed that low-dose radiation stimulated the secretion of ldrEXOs which delivered high levels of circ-METRN. And circ-METRN-abundant ldrEXOs increased the expression of ?-H2AX, indicating an efficient DNA damage-repair process in glioblastoma cells. The ldrEXOs-derived circ-METRN enhanced the glioblastoma progression and radioresistance via miR-4709-3p/GRB14/PDGFR? pathway. Up-regulating PDGFR? can rescue the tumor-promoting function of ldrEXOs in groups previously treated with inhibition of GRB14. Additionally, in-vivo experiments revealed that treatments with ldrEXOs promoted the growth of xenografted tumors and shortened the survival period. Furthermore, clinical researches indicated that circ-METRN may be transported into the bloodstream by exosomes in the early stages of fractionated radiotherapy. It has important clinical values to detect the serum exosomal circ-METRN in the early stage of radiotherapy, which is not only conducive to predict radioresistance and prognosis but also to assist MRI diagnosis in detecting the very early recurrence of glioblastoma. In summary, this study reveals for the first time that low-dose radiation-induced exosomal circ-METRN plays an oncogenic role in glioblastoma progression and radioresistance through miR-4709-3p/GRB14/PDGFR? pathway, providing mechanistic insights into the roles of circRNAs and a valuable marker for therapeutic targets in glioblastoma.</t>
  </si>
  <si>
    <t>[Wang, Xinxin] Zhengzhou Univ, Dept Neurol, Affiliated Hosp 1, Zhengzhou 450052, Peoples R China; [Cao, Qinchen; Shi, Yonggang; Mi, Yin; Liu, Ke] Zhengzhou Univ, Dept Radiat Therapy, Affiliated Hosp 1, Zhengzhou 450052, Peoples R China; [Wu, Xiaolong; Zhang, Mingzhi] Zhengzhou Univ, Dept Med Oncol, Affiliated Hosp 1, Zhengzhou 450052, Peoples R China; [Kan, Quancheng; Liu, Zhangsuo] Zhengzhou Univ, Dept Pharm &amp; Internal Med, Affiliated Hosp 1, Zhengzhou 450052, Peoples R China; [Fan, Ruitai] Zhengzhou Univ, Dept Radiat Oncol, Affiliated Hosp 1, Zhengzhou 450052, Peoples R China</t>
  </si>
  <si>
    <t>Zhengzhou University; Zhengzhou University; Zhengzhou University; Zhengzhou University; Zhengzhou University</t>
  </si>
  <si>
    <t>Cao, QN (corresponding author), Zhengzhou Univ, Dept Radiat Therapy, Affiliated Hosp 1, Zhengzhou 450052, Peoples R China.</t>
  </si>
  <si>
    <t>fcccaoqs@zzu.edu.cn</t>
  </si>
  <si>
    <t>Wang, Xin/AAN-8435-2021</t>
  </si>
  <si>
    <t>Wang, Xin/0000-0002-4457-7376; Shi, Yonggang/0000-0003-2701-2522</t>
  </si>
  <si>
    <t>1449-2288</t>
  </si>
  <si>
    <t>10.7150/ijbs.57168</t>
  </si>
  <si>
    <t>WOS:000632774700012</t>
  </si>
  <si>
    <t>Rossi, D; Condoluci, A; Spina, V; Gaidano, G</t>
  </si>
  <si>
    <t>Malek, SN</t>
  </si>
  <si>
    <t>Rossi, Davide; Condoluci, Adalgisa; Spina, Valeria; Gaidano, Gianluca</t>
  </si>
  <si>
    <t>Methods for Measuring ctDNA in Lymphomas</t>
  </si>
  <si>
    <t>CHRONIC LYMPHOCYTIC LEUKEMIA: Methods and Protocols</t>
  </si>
  <si>
    <t>cfDNA; Next-generation sequencing; Lymphomas; Liquid biopsy; Genotyping</t>
  </si>
  <si>
    <t>CELL-FREE DNA; CIRCULATING TUMOR DNA; BLOOD-PROCESSING PROTOCOLS; GENOMIC DNA; PLASMA; CANCER; SERUM; QUANTIFICATION; ORIGIN; EXOSOMES</t>
  </si>
  <si>
    <t>Plasma cell-free DNA (cfDNA) is an easily accessible source of tumor DNA that allows accurate profiling of lymphoma patients, representing a complementary source of tumor DNA to tissue biopsy for genotyping. Applications of cfDNA analysis in lymphomas include: (1) identification of tumor mutations in a biopsyfree manner; (2) tracking tumor clonal evolution and identification of mutations causing resistance to treatment; and (3) monitoring of residual disease after therapy.</t>
  </si>
  <si>
    <t>[Rossi, Davide; Condoluci, Adalgisa] Oncol Inst Southern Switzerland, Div Hematol, Bellinzona, Switzerland; [Rossi, Davide; Condoluci, Adalgisa; Spina, Valeria] Inst Oncol Res, Lab Expt Hematol, Bellinzona, Switzerland; [Gaidano, Gianluca] Univ Piemonte Orientale, Div Hematol, Dept Translat Med, Novara, Italy</t>
  </si>
  <si>
    <t>Institute of Oncology Research (IOR); Institute of Oncology Research (IOR); University of Eastern Piedmont Amedeo Avogadro</t>
  </si>
  <si>
    <t>Rossi, D (corresponding author), Oncol Inst Southern Switzerland, Div Hematol, Bellinzona, Switzerland.;Rossi, D (corresponding author), Inst Oncol Res, Lab Expt Hematol, Bellinzona, Switzerland.</t>
  </si>
  <si>
    <t>Gaidano, Gianluca/AAW-2773-2021</t>
  </si>
  <si>
    <t>Gaidano, Gianluca/0000-0002-4681-0151</t>
  </si>
  <si>
    <t>978-1-4939-8876-1; 978-1-4939-8875-4</t>
  </si>
  <si>
    <t>10.1007/978-1-4939-8876-1_19</t>
  </si>
  <si>
    <t>10.1007/978-1-4939-8876-1</t>
  </si>
  <si>
    <t>Biochemistry &amp; Molecular Biology; Oncology; Hematology</t>
  </si>
  <si>
    <t>WOS:000683074300020</t>
  </si>
  <si>
    <t>Ravera, F; Cirmena, G; Dameri, M; Gallo, M; Vellone, VG; Fregatti, P; Friedman, D; Calabrese, M; Ballestrero, A; Tagliafico, A; Ferrando, L; Zoppoli, G</t>
  </si>
  <si>
    <t>Ravera, Francesco; Cirmena, Gabriella; Dameri, Martina; Gallo, Maurizio; Vellone, Valerio Gaetano; Fregatti, Piero; Friedman, Daniele; Calabrese, Massimo; Ballestrero, Alberto; Tagliafico, Alberto; Ferrando, Lorenzo; Zoppoli, Gabriele</t>
  </si>
  <si>
    <t>Development of a hoRizontal data intEgration classifier for NOn-invasive early diAgnosis of breasT cancEr: the RENOVATE study protocol</t>
  </si>
  <si>
    <t>BMJ OPEN</t>
  </si>
  <si>
    <t>breast tumours; breast imaging; health informatics; cancer genetics; adult oncology</t>
  </si>
  <si>
    <t>EXOSOMES; DNA</t>
  </si>
  <si>
    <t>Introduction Standard procedures aimed at the early diagnosis of breast cancer (BC) present suboptimal accuracy and imply the execution of invasive and sometimes unnecessary tissue biopsies. The assessment of circulating biomarkers for diagnostic purposes, together with radiomics, is of great potential in BC management. Methods and analysis This is a prospective translational study investigating the accuracy of the combined assessment of multiple circulating analytes together with radiomic variables for early BC diagnosis. Up to 750 patients will be recruited at their presentation at the Diagnostic Senology Unit of Ospedale Policlinico San Martino (Genoa, IT) for the execution of a diagnostic biopsy after the detection of a suspect breast lesion (t0). Each recruited patient will be asked to donate peripheral blood and urine before undergoing breast biopsy. Blood and urine samples will also be collected from a cohort of 100 patients with negative mammography. For cases with histological diagnosis of invasive BC, a second sample of blood and urine will be collected after breast surgery. Circulating tumour DNA, cell-free methylated DNA and circulating proteins will be assessed in samples collected at t0 from patients with stage I-IIA BC at surgery together with those collected from patients with histologically confirmed benign lesions of similar size and from healthy controls with negative mammography. These analyses will be combined with radiomic variables extracted with freeware algorithms applied to cases and matched controls for which digital mammography is available. The overall goal of the present study is to develop a horizontal data integration classifier for the early diagnosis of BC. Ethics and dissemination This research protocol has been approved by Regione Liguria Ethics Committee (reference number: 2019/75, study ID: 4452). Patients will be required to provide written informed consent. Results will be published in international peer-reviewed scientific journals.</t>
  </si>
  <si>
    <t>[Ravera, Francesco; Cirmena, Gabriella; Gallo, Maurizio; Ballestrero, Alberto; Zoppoli, Gabriele] Univ Genoa, Dept Internal Med, Genoa, Italy; [Dameri, Martina; Fregatti, Piero; Friedman, Daniele; Calabrese, Massimo; Ferrando, Lorenzo] IRCCS, Osped Policlin San Martino, Genoa, Italy; [Vellone, Valerio Gaetano] Univ Genoa, Dept Surg Sci &amp; Integrated Diagnost, Genoa, Italy; [Tagliafico, Alberto] Univ Genoa, Dept Hlth Sci, Genoa, Italy</t>
  </si>
  <si>
    <t>University of Genoa; University of Genoa; University of Genoa</t>
  </si>
  <si>
    <t>Zoppoli, G (corresponding author), Univ Genoa, Dept Internal Med, Genoa, Italy.</t>
  </si>
  <si>
    <t>gabriele.zoppoli@unige.it</t>
  </si>
  <si>
    <t>Calabrese, Massimo/Y-6985-2019</t>
  </si>
  <si>
    <t>Calabrese, Massimo/0000-0001-7281-5573; Ferrando, Lorenzo/0000-0002-4025-7930; Cirmena, Gabriella/0000-0002-5794-2766; Dameri, Martina/0000-0001-6898-9247</t>
  </si>
  <si>
    <t>2044-6055</t>
  </si>
  <si>
    <t>e054256</t>
  </si>
  <si>
    <t>10.1136/bmjopen-2021-054256</t>
  </si>
  <si>
    <t>WOS:000737991900006</t>
  </si>
  <si>
    <t>Keup, C; Suryaprakash, V; Hauch, S; Storbeck, M; Hahn, P; Sprenger-Haussels, M; Kolberg, HC; Tewes, M; Hoffmann, O; Kimmig, R; Kasimir-Bauer, S</t>
  </si>
  <si>
    <t>Keup, Corinna; Suryaprakash, Vinay; Hauch, Siegfried; Storbeck, Markus; Hahn, Peter; Sprenger-Haussels, Markus; Kolberg, Hans-Christian; Tewes, Mitra; Hoffmann, Oliver; Kimmig, Rainer; Kasimir-Bauer, Sabine</t>
  </si>
  <si>
    <t>Integrative statistical analyses of multiple liquid biopsy analytes in metastatic breast cancer</t>
  </si>
  <si>
    <t>GENOME MEDICINE</t>
  </si>
  <si>
    <t>Multi-parametric; Multi-layer; Multi-modal; Multi-analyte; Liquid biopsy; Metastatic breast cancer patients</t>
  </si>
  <si>
    <t>CIRCULATING TUMOR-CELLS; FREE DNA; CLINICAL VALIDITY; MESSENGER-RNAS; TRASTUZUMAB; METHYLATION; PROGRESSION; RESISTANCE; SURVIVAL; MUTATION</t>
  </si>
  <si>
    <t>Background Single liquid biopsy analytes (LBAs) have been utilized for therapy selection in metastatic breast cancer (MBC). We performed integrative statistical analyses to examine the clinical relevance of using multiple LBAs: matched circulating tumor cell (CTC) mRNA, CTC genomic DNA (gDNA), extracellular vesicle (EV) mRNA, and cell-free DNA (cfDNA). Methods Blood was drawn from 26 hormone receptor-positive, HER2-negative MBC patients. CTC mRNA and EV mRNA were analyzed using a multi-marker qPCR. Plasma from CTC-depleted blood was utilized for cfDNA isolation. gDNA from CTCs was isolated from mRNA-depleted CTC lysates. CTC gDNA and cfDNA were analyzed by targeted sequencing. Hierarchical clustering was performed within each analyte, and its results were combined into a score termed Evaluation of multiple Liquid biopsy analytes In Metastatic breast cancer patients All from one blood sample (ELIMA.score), which calculates the contribution of each analyte to the overall survival prediction. Singular value decomposition (SVD), mutual information calculation, k-means clustering, and graph-theoretic analysis were conducted to elucidate the dependence between individual analytes. Results A combination of two/three/four LBAs increased the prevalence of patients with actionable signals. Aggregating the results of hierarchical clustering of individual LBAs into the ELIMA.score resulted in a highly significant correlation with overall survival, thereby bolstering evidence for the additive value of using multiple LBAs. Computation of mutual information indicated that none of the LBAs is independent of the others, but the ability of a single LBA to describe the others is rather limited-only CTC gDNA could partially describe the other three LBAs. SVD revealed that the strongest singular vectors originate from all four LBAs, but a majority originated from CTC gDNA. After k-means clustering of patients based on parameters of all four LBAs, the graph-theoretic analysis revealed CTC ERBB2 variants only in patients belonging to one particular cluster. Conclusions The additional benefits of using all four LBAs were objectively demonstrated in this pilot study, which also indicated a relative dominance of CTC gDNA over the other LBAs. Consequently, a multi-parametric liquid biopsy approach deconvolutes the genomic and transcriptomic complexity and should be considered in clinical practice.</t>
  </si>
  <si>
    <t>[Keup, Corinna; Hoffmann, Oliver; Kimmig, Rainer; Kasimir-Bauer, Sabine] Univ Hosp Essen, Dept Gynecol &amp; Obstet, Hufelandstr 55, D-45122 Essen, Germany; [Suryaprakash, Vinay; Hauch, Siegfried; Storbeck, Markus; Hahn, Peter; Sprenger-Haussels, Markus] QIAGEN GmbH, D-40724 Hilden, Germany; [Kolberg, Hans-Christian] Marienhosp Bottrop, Dept Gynecol &amp; Obstet, D-46236 Bottrop, Germany; [Tewes, Mitra] Univ Hosp Essen, Dept Med Oncol, D-45122 Essen, Germany</t>
  </si>
  <si>
    <t>University of Duisburg Essen; QIAGEN GmbH; St. Marien Hospital; University of Duisburg Essen</t>
  </si>
  <si>
    <t>corinna.keup@uk-essen.de</t>
  </si>
  <si>
    <t>Keup, Corinna/ACL-1875-2022</t>
  </si>
  <si>
    <t>Keup, Corinna/0000-0003-3525-7511</t>
  </si>
  <si>
    <t>1756-994X</t>
  </si>
  <si>
    <t>MAY 17</t>
  </si>
  <si>
    <t>10.1186/s13073-021-00902-1</t>
  </si>
  <si>
    <t>WOS:000656206500003</t>
  </si>
  <si>
    <t>Beyersmann, D</t>
  </si>
  <si>
    <t>Homeostasis and cellular functions of zinc</t>
  </si>
  <si>
    <t>MATERIALWISSENSCHAFT UND WERKSTOFFTECHNIK</t>
  </si>
  <si>
    <t>zinc; signal transduction; metallothionein; proliferation; differentiation</t>
  </si>
  <si>
    <t>GROWTH-FACTOR-I; CYCLIC-NUCLEOTIDE PHOSPHODIESTERASE; AIRWAY EPITHELIAL-CELLS; TRANSCRIPTION FACTOR-I; DNA-BINDING ACTIVITY; PROTEIN-KINASE-C; RAT GLIOMA-CELLS; SUBCELLULAR-LOCALIZATION; NUCLEAR TRANSLOCATION; SIGNALING PATHWAY</t>
  </si>
  <si>
    <t>Zinc is an element that is essential for cell proliferation and differentiation. Zinc is a structural constituent of a great number of proteins including metabolic enzymes, cellular signaling proteins and transcription factors. The total intracellular concentration of zinc and the intracellular concentration of the available ion are carefully controlled. The homeostasis of zinc is maintained by regulation of zinc uptake and elimination but also on the level of intracellular sequestration in zinc storing vesicles, so-called zinco-somes, and by controlled nucleo-cytoplasmic distribution. A major tool of these processes is the zinc binding protein metallothionein which serves as a zinc storing protein and a zinc transporter to the nucleus in the course of cell cycling and differentiation. There is increasing evidence for a direct signaling function of zinc at all levels of cellular signal transduction. Zinc has been found to modulate cellular signal reception, second messenger metabolism, protein kinase and protein phosphatase activities, and it may activate or inhibit the DNA binding of transcription factors. Zinc ions specifically activate the transcription factor MTF-1 which controls the expression of the genes for metallothionein and the zinc transporter protein ZnT-1. There is increasing evidence that zinc ions function as modulators of cell proliferation and differentiation. Zinc becomes cytotoxic if its extracellular concentration exceeds the capacity of the zinc homeostatic system. Elevated extracellular zinc concentrations lead to a breakdown of the zinc transporting system of the plasma membrane. The resulting enhanced intracellular zinc concentration evokes the activation of programmed cell death (apoptosis), whereas at even more elevated zinc concentration, cell necrosis is the dominant form of cell death.</t>
  </si>
  <si>
    <t>Univ Bremen, Fachbereich 2, D-28334 Bremen, Germany</t>
  </si>
  <si>
    <t>University of Bremen</t>
  </si>
  <si>
    <t>Beyersmann, D (corresponding author), Univ Bremen, Fachbereich 2, Postfach 330440, D-28334 Bremen, Germany.</t>
  </si>
  <si>
    <t>0933-5137</t>
  </si>
  <si>
    <t>1521-4052</t>
  </si>
  <si>
    <t>10.1002/mawe.200290008</t>
  </si>
  <si>
    <t>Materials Science, Multidisciplinary</t>
  </si>
  <si>
    <t>WOS:000180596700009</t>
  </si>
  <si>
    <t>Masaki, K; Ueki, S; Tanese, K; Nagao, G; Kanzaki, S; Matsuki, E; Irie, H; Kabata, H; Miyata, J; Kawada, I; Fukunaga, K</t>
  </si>
  <si>
    <t>Masaki, Katsunori; Ueki, Shigeharu; Tanese, Keiji; Nagao, Genta; Kanzaki, Sho; Matsuki, Eri; Irie, Hidehiro; Kabata, Hiroki; Miyata, Jun; Kawada, Ichiro; Fukunaga, Koichi</t>
  </si>
  <si>
    <t>Eosinophilic annular erythema showing eosinophil cytolytic ETosis successfully treated with benralizumab</t>
  </si>
  <si>
    <t>ASIA PACIFIC ALLERGY</t>
  </si>
  <si>
    <t>Eosinophil; Angioedema; Asthma; Benralizumab; ETosis</t>
  </si>
  <si>
    <t>A 56-year-old woman presented with repeated swelling of the lips and face. She had a history of childhood asthma; she had a recurrence of asthma when she was 54 years old and was taking inhaled corticosteroids, and other antiasthma drugs. The swelling of her lips and face improved temporarily with oral corticosteroids (OCS), but recurred soon after discontinuing OCS. Her peripheral blood eosinophil count was 632/4 (9.3%), and her serum was negative for myeloperoxidase-anti-neutrophil cytoplasmic antibody and serine proteinase3-anti-neutrophil cytoplasmic antibody. Hematoxylin and eosin staining of her back skin revealed abundant eosinophilic infiltrate around the vascular area of the shallow dermis layer, but no evidence of vasculitis and we diagnosed her as eosinophilic annular erythema (EAE). Punctate staining of galectin-10, chromatolytic eosinophils, and net-like DNA was also evident in close proximity to the free granules, indicating extracellular vesicles and eosinophil extracellular traps (ETosis). We started daily OCS to control her asthma and skin eruption/oedema. Three months after administering daily OCS, benralizumab was initiated for withdrawal from OCS dependence and treatment of severe asthma. After initiation of benralizumab, her skin and subcutaneous tissue symptoms promptly improved. OCS was discontinued, and no edematous erythema has been observed since then. Bronchial asthma has also been well-controlled. This is the first report on the evidence of eosinophil ETosis in the dermis of EAE patients and the efficacy of benralizumab in a patient with EAE. Benralizumab may be a useful drug for treating refractory EAE with severe eosinophilic asthma.</t>
  </si>
  <si>
    <t>[Masaki, Katsunori; Nagao, Genta; Irie, Hidehiro; Kabata, Hiroki; Kawada, Ichiro; Fukunaga, Koichi] Keio Univ, Sch Med, Dept Med, Div Pulm Med, Tokyo, Japan; [Masaki, Katsunori; Tanese, Keiji; Kanzaki, Sho; Kabata, Hiroki; Miyata, Jun; Fukunaga, Koichi] Keio Univ Hosp, Keio Allergy Ctr, Tokyo, Japan; [Ueki, Shigeharu] Akita Univ, Grad Sch Med, Dept Gen Internal Med &amp; Clin Lab Med, Akita, Japan; [Tanese, Keiji] Keio Univ, Sch Med, Dept Dermatol, Tokyo, Japan; [Kanzaki, Sho] Keio Univ, Sch Med, Dept Otorhinolaryngol, Tokyo, Japan; [Matsuki, Eri] Keio Univ, Sch Med, Dept Med, Div Hematol, Tokyo, Japan; [Miyata, Jun] Natl Def Med Coll, Dept Internal Med, Div Infect Dis &amp; Resp Med, Saitama, Japan</t>
  </si>
  <si>
    <t>Keio University; Keio University; Akita University; Keio University; Keio University; Keio University; National Defense Medical College - Japan</t>
  </si>
  <si>
    <t>Masaki, K (corresponding author), Keio Univ, Div Pulm Med, Dept Med, Sch Med,Shinjuku Ku, 35 Shinanomachi, Tokyo 1608582, Japan.</t>
  </si>
  <si>
    <t>masakik@keio.jp</t>
  </si>
  <si>
    <t>Ueki, Shigeharu/I-3566-2019</t>
  </si>
  <si>
    <t>Ueki, Shigeharu/0000-0002-3537-7735; Masaki, Katsunori/0000-0003-0909-9409; Miyata, Jun/0000-0002-3189-1702; Kabata, Hiroki/0000-0001-8853-6149</t>
  </si>
  <si>
    <t>2233-8276</t>
  </si>
  <si>
    <t>2233-8268</t>
  </si>
  <si>
    <t>e28</t>
  </si>
  <si>
    <t>10.5415/apallergy.2021.11.e28</t>
  </si>
  <si>
    <t>Allergy</t>
  </si>
  <si>
    <t>WOS:000680842600002</t>
  </si>
  <si>
    <t>Mentor, S; Fisher, D</t>
  </si>
  <si>
    <t>Mentor, Shireen; Fisher, David</t>
  </si>
  <si>
    <t>High-Resolution Insights Into the in vitro Developing Blood-Brain Barrier: Novel Morphological Features of Endothelial Nanotube Function</t>
  </si>
  <si>
    <t>FRONTIERS IN NEUROANATOMY</t>
  </si>
  <si>
    <t>blood-brain barrier; exosomes; nanovesicles; tunneling nanotubes; tethering nanotubes</t>
  </si>
  <si>
    <t>TUNNELING NANOTUBES; EXOSOMES; CELLS; ROUTE; COMMUNICATION; FIBRONECTIN; EXPRESSION; COMPONENTS; TRANSPORT; ACTIN</t>
  </si>
  <si>
    <t>High-resolution electron microscopy (HREM) imaging of the in vitro blood-brain barrier (BBB), is a promising modality for investigating the dynamic morphological interplay underpinning BBB development. The successful establishment of BBB integrity is grounded in the brain endothelial cells (BEC's) ability to occlude its paracellular spaces of brain capillaries through the expression of the intercellular tight junction (TJ) proteins. The impermeability of these paracellular spaces are crucial in the regulation of transcellular transport systems to achieve homeostasis of the central nervous system. To-date research describing morphologically, the dynamics by which TJ interaction is orchestrated to successfully construct a specialized barrier remains undescribed. In this study, the application of HREM illuminates the novel, dynamic and highly restrictive BEC paracellular pathway which is founded based on lateral membrane alignment which is the functional imperative for the mechanical juxtapositioning of TJ zones that underpin molecular bonding and sealing of the paracellular space. For the first time, we report on the secretion of a basement membrane in vitro, which allow BECs to orientate themselves into distinct basolateral and apicolateral domains and establish a 3-dimensional BEC construct. We report for the first time, on the expression of nanovesicles bound to the plasma membrane surfaces of the BECs. These membrane-bound vesicles are reported to possess an array of DNA/RNA constituents and chemotaxic properties affecting the formation of nanotubes that span the paracellular space between BECs, facilitating BBB construction, alluding to a functional role in mediating cell-to-cell communication. This study suggests that novel, ultrathin nanotubular (NT) structures are involved in functional roles in bringing into alignment the paracellular space of BECs. Immortalized mouse BECs (b.End3, b.End5) and primary rat cardiac microvascular ECs were used to further validate the in vitro BBB model by profiling variances in peripheral EC monolayer development. These cardiac capillary ECs presented with an opposite topographical profile: large fenestra and intercellular spaces, devoid of morphological ultrastructures. This comparative study alludes to the role of NT facilitation in TJ-induced hemifusion of apicolateral BEC membranes, as a structural event forming the basis for establishing a polarized BBB.</t>
  </si>
  <si>
    <t>[Mentor, Shireen; Fisher, David] Univ Western Cape, Fac Nat Sci, Dept Med Biosci, Neurobiol Res Grp, Cape Town, South Africa; [Fisher, David] Univ Missouri, Sch Hlth Profess, Columbia, MO USA</t>
  </si>
  <si>
    <t>University of the Western Cape; University of Missouri System; University of Missouri Columbia</t>
  </si>
  <si>
    <t>Fisher, D (corresponding author), Univ Western Cape, Fac Nat Sci, Dept Med Biosci, Neurobiol Res Grp, Cape Town, South Africa.;Fisher, D (corresponding author), Univ Missouri, Sch Hlth Profess, Columbia, MO USA.</t>
  </si>
  <si>
    <t>dfisher@uwc.ac.za</t>
  </si>
  <si>
    <t>Mentor, Shireen/0000-0001-5430-0867</t>
  </si>
  <si>
    <t>1662-5129</t>
  </si>
  <si>
    <t>JUN 25</t>
  </si>
  <si>
    <t>10.3389/fnana.2021.661065</t>
  </si>
  <si>
    <t>Anatomy &amp; Morphology; Neurosciences</t>
  </si>
  <si>
    <t>Anatomy &amp; Morphology; Neurosciences &amp; Neurology</t>
  </si>
  <si>
    <t>WOS:000670983400001</t>
  </si>
  <si>
    <t>NYGREN, H; BRAIDE, M; KARLSSON, C</t>
  </si>
  <si>
    <t>PROTEIN-PLATELET AND PLATELET-LEUKOCYTE INTERACTION AT MATERIALS IN CONTACT WITH HUMAN BLOOD</t>
  </si>
  <si>
    <t>JOURNAL OF VACUUM SCIENCE &amp; TECHNOLOGY A</t>
  </si>
  <si>
    <t>COAGULATION PROTEINS; WHOLE-BLOOD; ADSORPTION; FIBRINOGEN; SURFACE; PLASMA; RECEPTORS; ADHESION</t>
  </si>
  <si>
    <t>The adhesion and activation of platelets and leukocytes at blood-material interfaces was studied by fluorescence microscopy and photometry using specific anti-CD antibodies, antiplasma protein antibodies, and the calcium probe Fura-2. Hydrophilic glass or methylized, hydrophobic glass was prepared and capillary blood was placed as droplets on the surface in a humified chamber. The adsorption of plasma proteins was monitored with FITC-labeled antibodies directed against albumin, IgG, fibrinogen, fibronectin, the v. Willebrand factor, prothrombin/thrombin, and complement factor C3c. The adhesion of platelets was shown by anti-CD 61 antibodies, specific for this cell type. Adhesion of leukocytes was measured by staining their DNA with acridine orange. Adhering platelets were found after 15 s of blood-material contact on both surfaces. The number of adhering platelets rapidly decreased at the hydrophilic surface, but remained high for more than 8 min at the hydrophobic surface. Fibrinogen was the dominating protein at the material surface, whereas fibronectin and the v. Willebrand factor were found at the cell surfaces. Platelet-derived microvesicles were found after 4 and 8 min of blood-material contact. These microvesicles showed intense staining with anti-C3c antibodies. Significant numbers of leukocytes (PMN cells) were seen after 2 h of blood-material contact. In other experiments, granulocytes were isolated and incubated with Fura-2. The supernatant of hirudin-treated blood, exposed to hydrophilic or hydrophobic glass surfaces, was added to the cells and the fluorescence was recorded after emission at 340 and 380 nm. A rapid peak was seen, indicating calcium influx into the cytoplasm. The activating substance was removed from the supernatant by filtering it through a 0.1-0.45 mu m Millipore filter. The blood samples were taken from patients undergoing treatment with extracorporeal circulation. The samples were incubated with monoclonal antibodies against surface antigens CD-11b, 16, 35, 61 and 62. The fluorescence was measured in a flow cytofluorometer. The PMN cells were shown to be activated rapidly after the onset of oxygenator circulation. (C) 1995 American Vacuum Society.</t>
  </si>
  <si>
    <t>NYGREN, H (corresponding author), GOTHENBURG UNIV, DEPT ANAT &amp; CELL BIOL, GOTHENBURG, SWEDEN.</t>
  </si>
  <si>
    <t>0734-2101</t>
  </si>
  <si>
    <t>1520-8559</t>
  </si>
  <si>
    <t>10.1116/1.579459</t>
  </si>
  <si>
    <t>Materials Science, Coatings &amp; Films; Physics, Applied</t>
  </si>
  <si>
    <t>Materials Science; Physics</t>
  </si>
  <si>
    <t>WOS:A1995RV82800049</t>
  </si>
  <si>
    <t>Turco, C; Esposito, G; Iaiza, A; Goeman, F; Benedetti, A; Gallo, E; Daralioti, T; Perracchio, L; Sacconi, A; Pasanisi, P; Muti, P; Pulito, C; Strano, S; Ianniello, Z; Fatica, A; Forcato, M; Fazi, F; Blandino, G; Fontemaggi, G</t>
  </si>
  <si>
    <t>Turco, Chiara; Esposito, Gabriella; Iaiza, Alessia; Goeman, Frauke; Benedetti, Anna; Gallo, Enzo; Daralioti, Theodora; Perracchio, Letizia; Sacconi, Andrea; Pasanisi, Patrizia; Muti, Paola; Pulito, Claudio; Strano, Sabrina; Ianniello, Zaira; Fatica, Alessandro; Forcato, Mattia; Fazi, Francesco; Blandino, Giovanni; Fontemaggi, Giulia</t>
  </si>
  <si>
    <t>MALAT1-dependent hsa_circ_0076611 regulates translation rate in triple-negative breast cancer</t>
  </si>
  <si>
    <t>ENDOTHELIAL GROWTH-FACTOR; LONG NONCODING RNA; MUTANT P53; VASCULAR-PERMEABILITY; NONDIABETIC WOMEN; ID4; VEGF; EXPRESSION; METFORMIN; ISOFORMS</t>
  </si>
  <si>
    <t>The circular isoform of VEGFA mRNA (circ_0076611), associated with size and pathogenesis of triple-negative breast tumors, is produced via back splicing of exon-7 by a RNP complex comprising lncRNA-MALAT1, ID4 and SRSF1, and secreted through exosomes. Vascular Endothelial Growth Factor A (VEGFA) is the most commonly expressed angiogenic growth factor in solid tumors and is generated as multiple isoforms through alternative mRNA splicing. Here, we show that lncRNA MALAT1 (metastasis-associated lung adenocarcinoma transcript 1) and ID4 (inhibitor of DNA-binding 4) protein, previously referred to as regulators of linear isoforms of VEGFA, induce back-splicing of VEGFA exon 7, producing circular RNA circ_0076611. Circ_0076611 is detectable in triple-negative breast cancer (TNBC) cells and tissues, in exosomes released from TNBC cells and in the serum of breast cancer patients. Circ_0076611 interacts with a variety of proliferation-related transcripts, included MYC and VEGFA mRNAs, and increases cell proliferation and migration of TNBC cells. Mechanistically, circ_0076611 favors the expression of its target mRNAs by facilitating their interaction with components of the translation initiation machinery. These results add further complexity to the multiple VEGFA isoforms expressed in cancer cells and highlight the relevance of post-transcriptional regulation of VEGFA expression in TNBC cells.</t>
  </si>
  <si>
    <t>[Turco, Chiara; Esposito, Gabriella; Pulito, Claudio; Blandino, Giovanni; Fontemaggi, Giulia] IRCCS Regina Elena Natl Canc Inst, Oncogenom &amp; Epigenet Unit, Rome, Italy; [Iaiza, Alessia; Benedetti, Anna; Fazi, Francesco] Sapienza Univ Rome, Lab Ist Pasteur Italia Fdn Cenci Bolognetti, Dept Anat Histol Forens &amp; Orthoped Sci, Sect Histol &amp; Med Embryol, Rome, Italy; [Goeman, Frauke; Strano, Sabrina] IRCCS Regina Elena Natl Canc Inst, UOSD SAFU, Dept Res Adv Diagnost &amp; Technol Innovat, Translat Res Area, Rome, Italy; [Gallo, Enzo; Daralioti, Theodora; Perracchio, Letizia] IRCCS Regina Elena Natl Canc Inst, Dept Pathol, Rome, Italy; [Sacconi, Andrea] IRCCS Regina Elena Natl Canc Inst, UOSD Clin Trial Ctr Biostat &amp; Bioinformat, Rome, Italy; [Pasanisi, Patrizia] Fdn IRCCS Ist Nazl Tumori, Unit Epidemiol &amp; Prevent, Milan, Italy; [Muti, Paola] McMaster Univ, Fac Hlth Sci, Dept Hlth Res Methods Evidence &amp; Impact, Hamilton, ON, Canada; [Muti, Paola] Univ Milan, Dept Biomed Surg &amp; Dent Sci, Milan, Italy; [Ianniello, Zaira; Fatica, Alessandro] Sapienza Univ Rome, Dept Biol &amp; Biotechnol Charles Darwin, Rome, Italy; [Forcato, Mattia] Univ Modena &amp; Reggio Emilia, Dept Life Sci, Modena, Italy</t>
  </si>
  <si>
    <t>Sapienza University Rome; Fondazione IRCCS Istituto Nazionale Tumori Milan; McMaster University; University of Milan; Sapienza University Rome; Universita di Modena e Reggio Emilia</t>
  </si>
  <si>
    <t>Blandino, G; Fontemaggi, G (corresponding author), IRCCS Regina Elena Natl Canc Inst, Oncogenom &amp; Epigenet Unit, Rome, Italy.;Fazi, F (corresponding author), Sapienza Univ Rome, Lab Ist Pasteur Italia Fdn Cenci Bolognetti, Dept Anat Histol Forens &amp; Orthoped Sci, Sect Histol &amp; Med Embryol, Rome, Italy.</t>
  </si>
  <si>
    <t>francesco.fazi@uniroma1.it; giovanni.blandino@ifo.gov.it; giulia.fontemaggi@ifo.gov.it</t>
  </si>
  <si>
    <t>Gallo, Enzo/AAB-3121-2020</t>
  </si>
  <si>
    <t>Gallo, Enzo/0000-0002-4938-4071</t>
  </si>
  <si>
    <t>JUN 16</t>
  </si>
  <si>
    <t>10.1038/s42003-022-03539-x</t>
  </si>
  <si>
    <t>WOS:000812308700006</t>
  </si>
  <si>
    <t>Zhou, CF; Zhang, YM; Yan, RM; Huang, L; Mellor, AL; Yang, Y; Chen, XJ; Wei, WF; Wu, XG; Yu, L; Liang, LJ; Zhang, D; Wu, S; Wang, W</t>
  </si>
  <si>
    <t>Zhou, Chenfei; Zhang, Yanmei; Yan, Ruiming; Huang, Lei; Mellor, Andrew L.; Yang, Yang; Chen, Xiaojing; Wei, Wenfei; Wu, Xiangguang; Yu, Lan; Liang, Luojiao; Zhang, Dan; Wu, Sha; Wang, Wei</t>
  </si>
  <si>
    <t>Exosome-derived miR-142-5p remodels lymphatic vessels and induces IDO to promote immune privilege in the tumour microenvironment</t>
  </si>
  <si>
    <t>CELL DEATH AND DIFFERENTIATION</t>
  </si>
  <si>
    <t>INDOLEAMINE 2,3-DIOXYGENASE; CELL CARCINOMA; BREAST-CANCER; LYMPHANGIOGENESIS; METASTASIS; EXPRESSION; ROLES; INDOLEAMINE-2,3-DIOXYGENASE; SURVIVAL; GROWTH</t>
  </si>
  <si>
    <t>Clinical response to immunotherapy is closely associated with the immunosuppressive tumour microenvironment (TME), and influenced by the dynamic interaction between tumour cells and lymphatic endothelial cells (LECs). Here, we show that high levels of miR-142-5p positively correlate with indoleamine 2,3-dioxygenase (IDO) expression in tumour-associated lymphatic vessels in advanced cervical squamous cell carcinoma (CSCC). The miR-142-5p is transferred by CSCC-secreted exosomes into LECs to exhaust CD8(+)T cells via the up-regulation of lymphatic IDO expression, which was abrogated by an IDO inhibitor. Mechanistically, miR-142-5p directly down-regulates lymphatic AT-rich interactive domain-containing protein 2 (ARID2) expression, inhibits DNA methyltransferase 1 (DNMT1) recruitment to interferon (IFN)-gamma promoter, and enhances IFN-gamma transcription by suppressing promoter methylation, thereby leading to elevated IDO activity. Furthermore, increased serum exosomal miR-142-5p levels and the consequent IDO activity positively correlate with CSCC progression. In conclusion, exosomes secreted by CSCC cells deliver miR-142-5p to LECs and induce IDO expression via ARID2-DNMT1-IFN-gamma signalling to suppress and exhaust CD8(+)T cells. Our study suggests that LECs act as an integral component of the immune checkpoint(s) in the TME and may serve as a potential new target for CSCC diagnosis and treatment.</t>
  </si>
  <si>
    <t>[Zhou, Chenfei; Yan, Ruiming; Yang, Yang; Chen, Xiaojing; Wei, Wenfei; Wu, Xiangguang; Yu, Lan; Liang, Luojiao; Wang, Wei] Guangzhou Med Univ, Dept Obstet &amp; Gynecol, Affiliated Hosp 1, Guangzhou 510120, Peoples R China; [Zhang, Yanmei; Wu, Sha] Southern Med Univ, Sch Basic Med Sci, Guangdong Prov Key Lab Prote, Dept Immunol, Guangzhou 510515, Peoples R China; [Huang, Lei; Mellor, Andrew L.] Newcastle Univ, Inst Cellular Med, Fac Med Sci, Framlington Pl, Newcastle Upon Tyne NE2 4HH, Tyne &amp; Wear, England; [Zhang, Dan] Southern Med Univ, Nanfang Hosp, Huiqiao Med Ctr, Guangzhou 510515, Peoples R China</t>
  </si>
  <si>
    <t>Guangzhou Medical University; Southern Medical University - China; Newcastle University - UK; Southern Medical University - China</t>
  </si>
  <si>
    <t>Wang, W (corresponding author), Guangzhou Med Univ, Dept Obstet &amp; Gynecol, Affiliated Hosp 1, Guangzhou 510120, Peoples R China.;Wu, S (corresponding author), Southern Med Univ, Sch Basic Med Sci, Guangdong Prov Key Lab Prote, Dept Immunol, Guangzhou 510515, Peoples R China.</t>
  </si>
  <si>
    <t>shawu99@outlook.com; smugowwang@126.com</t>
  </si>
  <si>
    <t>1350-9047</t>
  </si>
  <si>
    <t>1476-5403</t>
  </si>
  <si>
    <t>10.1038/s41418-020-00618-6</t>
  </si>
  <si>
    <t>WOS:000569296600002</t>
  </si>
  <si>
    <t>Csak, T; Bala, S; Lippai, D; Satishchandran, A; Catalano, D; Kodys, K; Szabo, G</t>
  </si>
  <si>
    <t>Csak, Timea; Bala, Shashi; Lippai, Dora; Satishchandran, Abishek; Catalano, Donna; Kodys, Karen; Szabo, Gyongyi</t>
  </si>
  <si>
    <t>microRNA-122 regulates hypoxia-inducible factor-1 and vimentin in hepatocytes and correlates with fibrosis in diet-induced steatohepatitis</t>
  </si>
  <si>
    <t>LIVER INTERNATIONAL</t>
  </si>
  <si>
    <t>exosomes; fibrosis; hepatocyte; HIF-1; MAP3K3; miR-122; vimentin</t>
  </si>
  <si>
    <t>EPITHELIAL-MESENCHYMAL TRANSITION; HEPATOCELLULAR-CARCINOMA; NONALCOHOLIC STEATOHEPATITIS; LIVER FIBROSIS; INSULIN-RESISTANCE; CHOLINE-DEFICIENT; BCL-2 EXPRESSION; ADIPOSE-TISSUE; LYSYL OXIDASE; MICE</t>
  </si>
  <si>
    <t>Background &amp; AimsmiR-122 is the most abundant miRNA in the liver particularly in hepatocytes where it targets cholesterol metabolism. Steatosis, a key component of non-alcoholic fatty liver disease, is regulated by hypoxia-inducible factor-1 (HIF-1). Here, we hypothesized that reduced miR-122 has a pathogenic role in steatohepatitis. MethodsmiR-122 and its target genes were evaluated in mouse livers and/or isolated hepatocytes after methionine-choline-deficient (MCD) or methionine-choline-supplemented (MCS) diet. ResultsLiver and hepatocyte miR-122 expression was significantly decreased in steatohepatitis. A maximum reduction in miR-122 occurred at the fibrosis stage (8weeks of MCD diet). MAP3K3, a miR-122 target gene, was induced at all stages of non-alcoholic steatohepatitis (NASH; 3-8weeks) only at the mRNA level. Increased NF-B activation was found in MCD diet-fed mice and MAP3K3 regulated the NF-B DNA binding in naive hepatocytes. HIF-1 mRNA and DNA binding and expression of the HIF-1 target gene, profibrotic lysyl oxidase, was increased in advanced steatohepatitis (8weeks). In addition, increase in vimentin and Sirius red staining (liver fibrosis) was found at 8weeks of MCD diet. Using miR-122 overexpression and inhibition approaches, we confirmed that HIF-1, vimentin and MAP3K3 are novel miR-122 targets in hepatocytes. We report transcriptional repression of miR-122 in NASH. Decreased liver miR-122 was associated with elevated circulating miR-122 in both exosome-rich and protein-rich serum fractions. ConclusionsOur novel data suggest that decreased liver miR-122 contributes to upregulation of modulators of tissue remodelling (HIF-1, vimentin and MAP3K3) and might play a role in NASH-induced liver fibrosis.</t>
  </si>
  <si>
    <t>[Csak, Timea; Bala, Shashi; Lippai, Dora; Satishchandran, Abishek; Catalano, Donna; Kodys, Karen; Szabo, Gyongyi] Univ Massachusetts, Dept Med, Sch Med, Worcester, MA 01605 USA</t>
  </si>
  <si>
    <t>University of Massachusetts System; University of Massachusetts Worcester</t>
  </si>
  <si>
    <t>Szabo, G (corresponding author), Univ Massachusetts, Dept Med, Sch Med, LRB215,364 Plantat St, Worcester, MA 01605 USA.</t>
  </si>
  <si>
    <t>gyongyi.szabo@umassmed.edu</t>
  </si>
  <si>
    <t>1478-3223</t>
  </si>
  <si>
    <t>1478-3231</t>
  </si>
  <si>
    <t>10.1111/liv.12633</t>
  </si>
  <si>
    <t>WOS:000348714500032</t>
  </si>
  <si>
    <t>Vallabhajosyula, P; Korutla, L; Habertheuer, A; Yu, M; Rostami, S; Yuan, CX; Reddy, S; Liu, CY; Korutla, V; Koeberlein, B; Trofe-Clark, J; Rickels, MR; Naji, A</t>
  </si>
  <si>
    <t>Vallabhajosyula, Prashanth; Korutla, Laxminarayana; Habertheuer, Andreas; Yu, Ming; Rostami, Susan; Yuan, Chao-Xing; Reddy, Sanjana; Liu, Chengyang; Korutla, Varun; Koeberlein, Brigitte; Trofe-Clark, Jennifer; Rickels, Michael R.; Naji, Ali</t>
  </si>
  <si>
    <t>Tissue-specific exosome biomarkers for noninvasively monitoring immunologic rejection of transplanted tissue</t>
  </si>
  <si>
    <t>CELL-FREE DNA; INTERNATIONAL SOCIETY; MESSENGER-RNA; ALLOGRAFT-REJECTION; MICRORNAS; HEART; LUNG; REPORT-2015; REGISTRY; EXPRESSION</t>
  </si>
  <si>
    <t>In transplantation, there is a critical need for noninvasive biomarker platforms for monitoring immunologic rejection. We hypothesized that transplanted tissues release donor-specific exosomes into recipient circulation and that the quantitation and profiling of donor intra-exosomal cargoes may constitute a biomarker platform for monitoring rejection. Here, we have tested this hypothesis in a human-into-mouse xenogeneic islet transplant model and validated the concept in clinical settings of islet and renal transplantation. In the xenogeneic model, we quantified islet transplant exosomes in recipient blood over long-term follow-up using anti-HLA antibody, which was detectable only in xenoislet recipients of human islets. Transplant islet exosomes were purified using anti-HLA antibody-conjugated beads, and their cargoes contained the islet endocrine hormone markers insulin, glucagon, and somatostatin. Rejection led to a marked decrease in transplant islet exosome signal along with distinct changes in exosomal microRNA and proteomic profiles prior to appearance of hyperglycemia. In the clinical settings of islet and renal transplantation, donor exosomes with respective tissue specificity for islet beta cells and renal epithelial cells were reliably characterized in recipient plasma over follow-up periods of up to 5 years. Collectively, these findings demonstrate the biomarker potential of transplant exosome characterization for providing a noninvasive window into the conditional state of transplant tissue.</t>
  </si>
  <si>
    <t>[Vallabhajosyula, Prashanth; Korutla, Laxminarayana; Habertheuer, Andreas; Yu, Ming; Rostami, Susan; Reddy, Sanjana; Liu, Chengyang; Korutla, Varun; Koeberlein, Brigitte; Trofe-Clark, Jennifer] Univ Penn, Perelman Sch Med, Dept Surg, Philadelphia, PA USA; [Yuan, Chao-Xing] Univ Penn, Perelman Sch Med, Dept Pharmacol Prote &amp; Syst Biol Core, Philadelphia, PA USA; [Rickels, Michael R.] Univ Penn, Perelman Sch Med, Dept Med, Div Endocrinol Diabet &amp; Metab, Philadelphia, PA USA; [Rickels, Michael R.; Naji, Ali] Univ Penn, Perelman Sch Med, Inst Diabet Obes &amp; Metab, Philadelphia, PA USA</t>
  </si>
  <si>
    <t>University of Pennsylvania; University of Pennsylvania; University of Pennsylvania; University of Pennsylvania</t>
  </si>
  <si>
    <t>Vallabhajosyula, P (corresponding author), Hosp Univ Penn, Div Cardiovasc Surg, 6 Silverstein,3400 Spruce St, Philadelphia, PA 19104 USA.</t>
  </si>
  <si>
    <t>Prashanth.vallabhajosyula@uphs.upenn.edu</t>
  </si>
  <si>
    <t>Rickels, Michael/D-1380-2009</t>
  </si>
  <si>
    <t>Rickels, Michael/0000-0002-9253-838X; Trofe-Clark, Jennifer/0000-0003-4370-3796; Habertheuer, Andreas/0000-0001-7310-8838</t>
  </si>
  <si>
    <t>APR 3</t>
  </si>
  <si>
    <t>10.1172/JCI87993</t>
  </si>
  <si>
    <t>WOS:000398183300027</t>
  </si>
  <si>
    <t>Serrano-Heras, G; Diaz-Maroto, I; Castro-Robles, B; Carrion, B; Perona-Moratalla, AB; Gracia, J; Arteaga, S; Hernandez-Fernandez, F; Garcia-Garcia, J; Ayo-Martin, O; Segura, T</t>
  </si>
  <si>
    <t>Serrano-Heras, Gemma; Diaz-Maroto, Inmaculada; Castro-Robles, Beatriz; Carrion, Blanca; Perona-Moratalla, Ana B.; Gracia, Julia; Arteaga, Sandra; Hernandez-Fernandez, Francisco; Garcia-Garcia, Jorge; Ayo-Martin, Oscar; Segura, Tomas</t>
  </si>
  <si>
    <t>Isolation and Quantification of Blood Apoptotic Bodies, a Non-invasive Tool to Evaluate Apoptosis in Patients with Ischemic Stroke and Neurodegenerative Diseases</t>
  </si>
  <si>
    <t>BIOLOGICAL PROCEDURES ONLINE</t>
  </si>
  <si>
    <t>Apoptotic bodies; Plasma samples; Apoptosis; Biomarkers; Ischemic stroke; Multiple sclerosis; Parkinson's disease</t>
  </si>
  <si>
    <t>FLOW-CYTOMETRY; VESICLES; MICROVESICLES; NECROSIS; DNA; AUTOPHAGY; EXOSOMES</t>
  </si>
  <si>
    <t>Background: Improper regulation of apoptosis has been postulated as one of the main factors that contributes to the etiology and/or progression of several prevalent diseases, including ischemic stroke and neurodegenerative pathologies. Consequently, in the last few years, there has been an ever-growing interest in the in vivo study of apoptosis. The clinical application of the tissue sampling and imaging approaches to analyze apoptosis in neurological diseases is, however, limited. Since apoptotic bodies are membrane vesicles that are released from fragmented apoptotic cells, it follows that the presence of these vesicles in the bloodstream is likely due to the apoptotic death of cells in tissues. We therefore propose to use circulating apoptotic bodies as biomarkers for measuring apoptotic death in patients with ischemic stroke and neurodegenerative diseases. Results: Since there is no scientific literature establishing the most appropriate method for collecting and enumerating apoptotic bodies from human blood samples. Authors, here, describe a reproducible centrifugation-based method combined with flow cytometry analysis to isolate and quantify plasma apoptotic bodies of patients with ischemic stroke, multiple sclerosis, Parkinson's disease and also in healthy controls. Electron microscopy, dynamic light scattering and proteomic characterization in combination with flow cytometry studies revealed that our isolation method achieves notable recovery rates of highly-purified intact apoptotic bodies. Conclusions: This easy, minimally time consuming and effective procedure for isolating and quantifying plasma apoptotic bodies could help physicians to implement the use of such vesicles as a non-invasive tool to monitor apoptosis in patients with cerebrovascular and neurodegenerative diseases for prognostic purposes and for monitoring disease activity.</t>
  </si>
  <si>
    <t>[Serrano-Heras, Gemma; Castro-Robles, Beatriz; Carrion, Blanca; Arteaga, Sandra] Complejo Hosp Univ Albacete, Res Unit, Laurel S-N, Albacete 02008, Spain; [Diaz-Maroto, Inmaculada; Perona-Moratalla, Ana B.; Gracia, Julia; Hernandez-Fernandez, Francisco; Garcia-Garcia, Jorge; Ayo-Martin, Oscar; Segura, Tomas] Complejo Hosp Univ Albacete, Dept Neurol, Albacete, Spain; [Segura, Tomas] Univ Castilla La Mancha, Fac Med, Inst Invest Discapacidades Neurol IDINE, Albacete, Spain</t>
  </si>
  <si>
    <t>Universidad de Castilla-La Mancha</t>
  </si>
  <si>
    <t>Serrano-Heras, G (corresponding author), Complejo Hosp Univ Albacete, Res Unit, Laurel S-N, Albacete 02008, Spain.</t>
  </si>
  <si>
    <t>gemmas@sescam.jccm.es</t>
  </si>
  <si>
    <t>Garcia-García, Jorge/AFF-9149-2022; Hernández, Paco/ABH-2521-2020; Hernández-Fernández, Francisco/Q-8131-2017; Castro-Robles, Beatriz/ABE-2376-2020</t>
  </si>
  <si>
    <t>Garcia-García, Jorge/0000-0001-9867-9709; Hernández-Fernández, Francisco/0000-0001-6681-2683; Castro-Robles, Beatriz/0000-0001-6441-7735; Gracia Gil, Julia/0000-0002-1714-5711; Serrano-Heras, Gemma/0000-0001-9368-4832</t>
  </si>
  <si>
    <t>1480-9222</t>
  </si>
  <si>
    <t>10.1186/s12575-020-00130-8</t>
  </si>
  <si>
    <t>WOS:000560013800001</t>
  </si>
  <si>
    <t>Hoshina, S; Sekizuka, T; Kataoka, M; Hasegawa, H; Hamada, H; Kuroda, M; Katano, H</t>
  </si>
  <si>
    <t>Hoshina, Shiho; Sekizuka, Tsuyoshi; Kataoka, Michiyo; Hasegawa, Hideki; Hamada, Hiromichi; Kuroda, Makoto; Katano, Harutaka</t>
  </si>
  <si>
    <t>Profile of Exosomal and Intracellular microRNA in Gamma-Herpesvirus-Infected Lymphoma Cell Lines</t>
  </si>
  <si>
    <t>SARCOMA-ASSOCIATED HERPESVIRUS; PRIMARY EFFUSION LYMPHOMA; KAPOSIS-SARCOMA; RETICULOCYTE MATURATION; TRANSFERRIN RECEPTOR; VIRUS; IDENTIFICATION; DNA; IMPORT; PLASMA</t>
  </si>
  <si>
    <t>Exosomes are small vesicles released from cells, into which microRNAs (miRNA) are specifically sorted and accumulated. Two gamma-herpesviruses, Kaposi sarcoma-associated herpesvirus(KSHV) and Epstein-Barr virus (EBV), encode miRNAs in their genomes and express virus-encoded miRNAs in cells and exosomes. However, there is little information about the detailed distribution of virus-encoded miRNAs in cells and exosomes. In this study, we thus identified virus-and host-encoded miRNAs in exosomes released from KSHV- or EBV-infected lymphoma cell lines and compared them with intracellular miRNAs using a next-generation sequencer. Sequencing analysis demonstrated that 48% of the annotated miRNAs in the exosomes from KSHV- infected cells originated from KSHV. Human mir-10b-5p and mir-143-3p were much more highly concentrated in exosomes than in cells. Exosomes contained more nonexact mature miRNAs that did not exactly match those in miR Base than cells. Among the KSHV-encoded miRNAs, miRK12-3-5p was the most abundant exact mature miRNA in both cells and exosomes that exactly matched those in miR ]Base. Recently identified EXO motifs, nucleotide motifs that control the loading of miRNAs into exosomes were frequently found within the sequences of KSHV- encoded miRNAs, and the presence of the EXO motif CCCT or CCCG was associated with the localization of miRNA in exosomes in KSHV- infected cells. These observations suggest that specific virus-encoded miRNAs are sorted by EXO motifs and accumulate in exosomes in virus-infected cells.</t>
  </si>
  <si>
    <t>[Hoshina, Shiho; Kataoka, Michiyo; Hasegawa, Hideki; Katano, Harutaka] Natl Inst Infect Dis, Dept Pathol, Shinjuku Ku, 1-23-1 Toyama, Tokyo 1628640, Japan; [Sekizuka, Tsuyoshi; Kuroda, Makoto] Natl Inst Infect Dis, Pathogen Genom Ctr, Shinjuku Ku, 1-23-1 Toyama, Tokyo 1628640, Japan; [Hoshina, Shiho; Hamada, Hiromichi] Tokyo Womens Med Univ, Yachiyo Med Ctr, Dept Pediat, 477-96 Owada Shinden, Chiba 2760046, Japan</t>
  </si>
  <si>
    <t>National Institute of Infectious Diseases (NIID); National Institute of Infectious Diseases (NIID); Tokyo Women's Medical University</t>
  </si>
  <si>
    <t>Katano, H (corresponding author), Natl Inst Infect Dis, Dept Pathol, Shinjuku Ku, 1-23-1 Toyama, Tokyo 1628640, Japan.</t>
  </si>
  <si>
    <t>katano@nih.go.jp</t>
  </si>
  <si>
    <t>Hasegawa, Hideki/C-7978-2014</t>
  </si>
  <si>
    <t>Sekizuka, Tsuyoshi/0000-0002-1302-5472; Katano, Harutaka/0000-0002-5332-4434</t>
  </si>
  <si>
    <t>SEP 9</t>
  </si>
  <si>
    <t>e0162574</t>
  </si>
  <si>
    <t>10.1371/journal.pone.0162574</t>
  </si>
  <si>
    <t>WOS:000383255900129</t>
  </si>
  <si>
    <t>De Santis, D; Castagna, A; Danese, E; Udali, S; Martinelli, N; Morandini, F; Veneri, M; Bertolone, L; Olivieri, O; Friso, S; Pizzolo, F</t>
  </si>
  <si>
    <t>De Santis, Domenica; Castagna, Annalisa; Danese, Elisa; Udali, Silvia; Martinelli, Nicola; Morandini, Francesca; Veneri, Mariangela; Bertolone, Lorenzo; Olivieri, Oliviero; Friso, Simonetta; Pizzolo, Francesca</t>
  </si>
  <si>
    <t>Detection of Urinary Exosomal HSD11B2 mRNA Expression: A Useful Novel Tool for the Diagnostic Approach of Dysfunctional 11 beta-HSD2-Related Hypertension</t>
  </si>
  <si>
    <t>apparent mineralocorticoid excess; 11 beta-hydroxysteroid dehydrogenase type 2; urinary cortisol metabolites ratio; urinary exosomal mRNA; Droplet Digital PCR; essential hypertension</t>
  </si>
  <si>
    <t>11-BETA-HYDROXYSTEROID DEHYDROGENASE TYPE-2; APPARENT MINERALOCORTICOID EXCESS; DROPLET DIGITAL PCR; EXTRACELLULAR VESICLES; GENE PROMOTER; POLYMORPHISMS; CORTISONE; DNA; IDENTIFICATION; METABOLITES</t>
  </si>
  <si>
    <t>Objective: Apparent mineralocorticoid excess (AME) is an autosomal recessive disorder caused by the 11 beta-hydroxysteroid dehydrogenase type 2 (11 beta-HSD2) enzyme deficiency, traditionally assessed by measuring either the urinary cortisol metabolites ratio (tetrahydrocortisol+allotetrahydrocortisol/tetrahydrocortisone, THF+5aTHF/THE) or the urinary cortisol/cortisone (F/E) ratio. Exosomal mRNA is an emerging diagnostic tool due to its stability in body fluids and its biological regulatory function. It is unknown whether urinary exosomal HSD11B2 mRNA is related to steroid ratio or the HSD11B2 662 C &gt; G genotype (corresponding to a 221 A &gt; G substitution) in patients with AME and essential hypertension (EH). Aim of the Study: To detect and quantify HSD11B2 mRNA from urinary exosomes in samples from family members affected by AME and EH, and to evaluate the relationship between exosomal HSD11B2 mRNA, steroid ratio, 662C &gt; G genotype, and hypertension. Methods: In this observational case-control study, urinary steroid ratios and biochemical parameters were measured. Urinary exosomes were extracted from urine and exosomal HSD11B2 mRNA was quantified by Droplet Digital PCR (ddPCR). B2M (beta-2 microglobulin) gene was selected as the reference housekeeping gene. Results: Among family members affected by AME, exosomal urinary HSD11B2 mRNA expression was strictly related to genotypes. The two homozygous mutant probands showed the highest HSD11B2 mRNA levels (median 169, range 118-220 copies/mu l) that progressively decreased in 221 AG heterozygous with hypertension (108, range 92-124 copies/mu l), 221 AG heterozygous normotensives (23.35, range 8-38.7 copies/mu l), and wild-type 221 AA subjects (5.5, range 4.5-14 copies/mu l). Heterozygous hypertensive subjects had more HSD11B2 mRNA than heterozygous normotensive subjects. The F/E urinary ratio correlated with HSD11B2 mRNA copy number (p &lt; 0.05); HSD11B2 mRNA strongly decreased while THF+5aTHF/THE increased in the two probands after therapy. In the AME family, HSD11B2 copy number correlated with both F/E and THF+5aTHF/THE ratios, whereas in EH patients, a high F/E ratio reflected a reduced HSD11B2 mRNA expression. Conclusions: HSD11B2 mRNA is detectable and quantifiable in urinary exosomes; its expression varies according to the 662 C &gt; G genotype with the highest levels in homozygous mutant subjects. The HSD11B2 mRNA overexpression in AME could be due to a compensatory mechanism of the enzyme impairment. Exosomal mRNA is a useful tool to investigate HSD11B2 dysregulation in hypertension.</t>
  </si>
  <si>
    <t>[De Santis, Domenica; Castagna, Annalisa; Udali, Silvia; Martinelli, Nicola; Morandini, Francesca; Veneri, Mariangela; Bertolone, Lorenzo; Olivieri, Oliviero; Friso, Simonetta; Pizzolo, Francesca] Univ Verona, Dept Med, Unit Internal Med, Verona, Italy; [Danese, Elisa] Univ Verona, Sect Clin Biochem, Verona, Italy; [Danese, Elisa] Azienda Osped Univ Integrata Verona, Verona, Italy; [Morandini, Francesca] Aptuit Verona, Verona, Italy</t>
  </si>
  <si>
    <t>University of Verona; University of Verona; University of Verona; Azienda Ospedaliera Universitaria Integrata Verona</t>
  </si>
  <si>
    <t>Pizzolo, F (corresponding author), Univ Verona, Dept Med, Unit Internal Med, Verona, Italy.</t>
  </si>
  <si>
    <t>francesca.pizzolo@univr.it</t>
  </si>
  <si>
    <t>BERTOLONE, LORENZO/0000-0003-1458-2665</t>
  </si>
  <si>
    <t>10.3389/fendo.2021.681974</t>
  </si>
  <si>
    <t>WOS:000717575200001</t>
  </si>
  <si>
    <t>Song, L; Shi, QM; Yang, XH; Xu, ZH; Xue, HW</t>
  </si>
  <si>
    <t>Song, Li; Shi, Qiu-Ming; Yang, Xiao-Hua; Xu, Zhi-Hong; Xue, Hong-Wei</t>
  </si>
  <si>
    <t>Membrane steroid-binding protein 1 (MSBP1) negatively regulates brassinosteroid signaling by enhancing the endocytosis of BAK1</t>
  </si>
  <si>
    <t>CELL RESEARCH</t>
  </si>
  <si>
    <t>MSBP1; BR signaling; BAK1; endocytosiss</t>
  </si>
  <si>
    <t>RECEPTOR-LIKE KINASE1; EXTRACELLULAR DOMAIN; GENE-EXPRESSION; ARABIDOPSIS; GROWTH; AUXIN; BRI1; COMPLEX; FLS2; BZR1</t>
  </si>
  <si>
    <t>Brassinosteroids (BRs) are perceived by transmembrane receptors and play vital roles in plant growth and development, as well as cell in responses to environmental stimuli. The transmembrane receptor BRI1 can directly bind to brassinolide (BL), and BAK1 interacts with BRI1 to enhance the BRI1-mediated BR signaling. Our previous studies indicated that a membrane steroid-binding protein 1 (MSBP1) could bind to BL in vitro and is negatively involved in BR signaling. To further elucidate the underlying mechanism, we here show that MSBP1 specifically interacts with the extracellular domain of BAK1 in vivo in a BL-independent manner. Suppressed cell expansion and BR responses by increased expression of MSBP1 can be recovered by overexpressing BAK1 or its intracellular kinase domain, suggesting that MSBP1 may suppress BR signaling through interacting with BAK1. Subcellular localization studies revealed that both MSBP1 and BAK1 are localized to plasma membrane and endocytic vesicles and MSBP1 accelerates BAK1 endocytosis, which results in suppressed BR signaling by shifting the equilibrium of BAK1 toward endosomes. Indeed, enhanced MSBP1 expression reduces the interaction between BRI1 and BAK1 in vivo, demonstrating that MSBP1 acts as a negative factor at an early step of the BR signaling pathway.</t>
  </si>
  <si>
    <t>[Song, Li; Shi, Qiu-Ming; Yang, Xiao-Hua; Xu, Zhi-Hong; Xue, Hong-Wei] Chinese Acad Sci, Shanghai Inst Biol Sci, Natl Key Lab Plant Mol Genet, Inst Plant Physiol &amp; Ecol, Shanghai 200032, Peoples R China</t>
  </si>
  <si>
    <t>Chinese Academy of Sciences; Shanghai Institutes for Biological Sciences, CAS</t>
  </si>
  <si>
    <t>Xue, HW (corresponding author), Chinese Acad Sci, Shanghai Inst Biol Sci, Natl Key Lab Plant Mol Genet, Inst Plant Physiol &amp; Ecol, 300 Fenglin Rd, Shanghai 200032, Peoples R China.</t>
  </si>
  <si>
    <t>hwxue@sibs.ac.cn</t>
  </si>
  <si>
    <t>1001-0602</t>
  </si>
  <si>
    <t>1748-7838</t>
  </si>
  <si>
    <t>10.1038/cr.2009.66</t>
  </si>
  <si>
    <t>WOS:000268722200008</t>
  </si>
  <si>
    <t>Ushijima, Y; Goshima, F; Kimura, H; Nishiyama, Y</t>
  </si>
  <si>
    <t>Ushijima, Yoko; Goshima, Fumi; Kimura, Hiroshi; Nishiyama, Yukihiro</t>
  </si>
  <si>
    <t>Herpes simplex virus type 2 tegument protein UL56 relocalizes ubiquitin ligase Nedd4 and has a role in transport and/or release of virions</t>
  </si>
  <si>
    <t>COMPLETE GENOME SEQUENCE; DNA-SEQUENCE; MULTIVESICULAR BODIES; CONJUGATING ENZYME; GOLGI NETWORK; LOCALIZATION; FAMILY; GENE; E3; CLONING</t>
  </si>
  <si>
    <t>Background: The ubiquitin system functions in a variety of cellular processes including protein turnover, protein sorting and trafficking. Many viruses exploit the cellular ubiquitin system to facilitate viral replication. In fact, herpes simplex virus (HSV) encodes a ubiquitin ligase (E3) and a de-ubiquitinating enzyme to modify the host's ubiquitin system. We have previously reported HSV type 2 (HSV-2) tegument protein UL56 as a putative adaptor protein of neuronal precursor cell-expressed developmentally down-regulated 4 (Nedd4) E3 ligase, which has been shown to be involved in protein sorting and trafficking. Results: In this study, we visualized and characterized the dynamic intracellular localization of UL56 and Nedd4 using live-cell imaging and immunofluorescence analysis. UL56 was distributed to cytoplasmic vesicles, primarily to the trans-Golgi network (TGN), and trafficked actively throughout the cytoplasm. Moreover, UL56 relocalized Nedd4 to the vesicles in cells transiently expressing UL56 and in cells infected with HSV-2. We also investigated whether UL56 influenced the efficiency of viral replication, and found that extracellular infectious viruses were reduced in the absence of UL56. Conclusion: These data suggest that UL56 regulates Nedd4 and functions to facilitate the cytoplasmic transport of virions from TGN to the plasma membrane and/or release of virions from the cell surface.</t>
  </si>
  <si>
    <t>[Ushijima, Yoko; Goshima, Fumi; Kimura, Hiroshi; Nishiyama, Yukihiro] Nagoya Univ, Grad Sch Med, Dept Virol, Showa Ku, Nagoya, Aichi 4668550, Japan</t>
  </si>
  <si>
    <t>Nagoya University</t>
  </si>
  <si>
    <t>Nishiyama, Y (corresponding author), Nagoya Univ, Grad Sch Med, Dept Virol, Showa Ku, 65 Tsurumai Cho, Nagoya, Aichi 4668550, Japan.</t>
  </si>
  <si>
    <t>ushiy-5@med.nagoya-u.ac.jp; fgoshima@med.nagoya-u.ac.jp; hkimura@med.nagoya-u.ac.jp; ynishiya@med.nagoya-u.ac.jp</t>
  </si>
  <si>
    <t>Kimura, Hiroshi/I-2246-2012; GOSHIMA, Fumi/I-7241-2014</t>
  </si>
  <si>
    <t xml:space="preserve">Kimura, Hiroshi/0000-0001-8063-5660; </t>
  </si>
  <si>
    <t>OCT 16</t>
  </si>
  <si>
    <t>10.1186/1743-422X-6-168</t>
  </si>
  <si>
    <t>WOS:000271679000002</t>
  </si>
  <si>
    <t>Zheng, J; Yu, LQ; Chen, W; Lu, XY; Fan, XH</t>
  </si>
  <si>
    <t>Zheng, Jie; Yu, Lingqi; Chen, Wen; Lu, Xiaoyan; Fan, Xiaohui</t>
  </si>
  <si>
    <t>Circulating exosomal microRNAs reveal the mechanism of Fructus Meliae Toosendan-induced liver injury in mice</t>
  </si>
  <si>
    <t>S-PHASE ARREST; CELL-CYCLE; OXIDATIVE STRESS; DNA-DAMAGE; HEPATOCELLULAR-CARCINOMA; EXPRESSION PROFILES; SIGNALING PATHWAY; INDUCED APOPTOSIS; DENDRITIC CELLS; MESSENGER-RNAS</t>
  </si>
  <si>
    <t>The toxicological mechanisms of liver injury caused by most traditional Chinese medicine (TCM) remain largely unknown. Due to the unique features, exosomal microRNAs (miRNAs) are currently attracting major interests to provide further insights into toxicological mechanisms. Thus, taking Fructus Meliae Toosendan as an example of hepatoxic TCM, this study aimed to elucidate its hepatotoxicity mechanisms through profiling miRNAs in circulating exosomes of Fructus Meliae Toosendan water extract (FMT)-exposed mice. Biological pathway analysis of the 64 differentially expressed exosomal miRNAs (DEMs) showed that hepatic dysfunction induced by FMT likely related to apoptosis, mitochondrial dysfunction, and cell cycle dysregulation. Integrated analysis of serum exosomal DEMs and hepatic differentially expressed mRNAs further enriched oxidative stress and apoptosis related pathways. In vitro validation studies for omics results suggested that FMT-induced DNA damage was mediated by generating intracellular reactive oxygen species, leading to cell apoptosis through p53-dependent mitochondrial damage and S-phase arrest. Nrf2-mediated antioxidant response was activated to protect liver cells. Moreover, serum exosomal miR-370-3p, the most down-regulated miRNA involving in these pathways, might be the momentous event in aggravating cytotoxic effect of FMT by elevating p21 and Cyclin E. In conclusion, circulating exosomal miRNAs profiling could contribute to deepen the understanding of TCM-induced hepatotoxicity.</t>
  </si>
  <si>
    <t>[Zheng, Jie; Yu, Lingqi; Chen, Wen; Lu, Xiaoyan; Fan, Xiaohui] Zhejiang Univ, Coll Pharmaceut Sci, Pharmaceut Informat Inst, Hangzhou 310058, Zhejiang, Peoples R China</t>
  </si>
  <si>
    <t>Zhejiang University</t>
  </si>
  <si>
    <t>Lu, XY; Fan, XH (corresponding author), Zhejiang Univ, Coll Pharmaceut Sci, Pharmaceut Informat Inst, Hangzhou 310058, Zhejiang, Peoples R China.</t>
  </si>
  <si>
    <t>luxy@zju.edu.cn; fanxh@zju.edu.cn</t>
  </si>
  <si>
    <t>10.1038/s41598-018-21113-6</t>
  </si>
  <si>
    <t>WOS:000424743500048</t>
  </si>
  <si>
    <t>Bramwell, KKC; Mock, K; Ma, Y; Weis, JH; Teuscher, C; Weis, JJ</t>
  </si>
  <si>
    <t>Bramwell, Kenneth K. C.; Mock, Kelton; Ma, Ying; Weis, John H.; Teuscher, Cory; Weis, Janis J.</t>
  </si>
  <si>
    <t>beta-Glucuronidase, a Regulator of Lyme Arthritis Severity, Modulates Lysosomal Trafficking and MMP-9 Secretion in Response to Inflammatory Stimuli</t>
  </si>
  <si>
    <t>MUSCULOSKELETAL MANIFESTATIONS; RHEUMATOID-ARTHRITIS; TRYPANOSOMA-CRUZI; RAPAMYCIN; GENE; EXOGLYCOSIDASES; BORRELIOSIS; HYALURONAN; ACTIVATION; EXPRESSION</t>
  </si>
  <si>
    <t>The lysosomal enzyme beta-glucuronidase (Gusb) is a key regulator of Lyme-associated and K/BxN-induced arthritis severity. The luminal enzymes present in lysosomes provide essential catabolic functions for the homeostatic degradation of a variety of macromolecules. In addition to this essential catabolic function, lysosomes play important roles in the inflammatory response following infection. Secretory lysosomes and related vesicles can participate in the inflammatory response through fusion with the plasma membrane and release of bioactive contents into the extracellular milieu. In this study, we show that GUSB hypomorphism potentiates lysosomal exocytosis following inflammatory stimulation. This leads to elevated secretion of lysosomal contents, including glycosaminoglycans, lysosomal hydrolases, and matrix metalloproteinase 9, a known modulator of Lyme arthritis severity. This mechanistic insight led us to test the efficacy of rapamycin, a drug known to suppress lysosomal exocytosis. Both Lyme and K/BxN-associated arthritis were suppressed by this treatment concurrent with reduced lysosomal release.</t>
  </si>
  <si>
    <t>[Bramwell, Kenneth K. C.; Ma, Ying; Weis, John H.; Weis, Janis J.] Univ Utah, Dept Pathol, Div Microbiol &amp; Immunol, Salt Lake City, UT 84112 USA; [Mock, Kelton] Univ Puget Sound, Tacoma, WA 98416 USA; [Teuscher, Cory] Univ Vermont, Dept Med, Burlington, VT 05405 USA</t>
  </si>
  <si>
    <t>Utah System of Higher Education; University of Utah; University of Vermont</t>
  </si>
  <si>
    <t>Weis, JJ (corresponding author), Univ Utah, Dept Pathol, Div Microbiol &amp; Immunol, 15 North Med Dr, Salt Lake City, UT 84112 USA.</t>
  </si>
  <si>
    <t>janis.weis@path.utah.edu</t>
  </si>
  <si>
    <t>10.4049/jimmunol.1500212</t>
  </si>
  <si>
    <t>WOS:000360013200034</t>
  </si>
  <si>
    <t>RADDING, W; WILLIAMS, JP; HARDY, RW; MCDONALD, JM; WHITAKER, CH; TURBATHERRERA, EA; BLAIR, HC</t>
  </si>
  <si>
    <t>CALMODULIN CONCENTRATED AT THE OSTEOCLAST RUFFLED BORDER MODULATES ACID-SECRETION</t>
  </si>
  <si>
    <t>VACUOLAR PROTON PUMP; PLASMA-MEMBRANE; CHICKEN CALMODULIN; CHLORIDE CHANNEL; BONE-RESORPTION; XENOPUS OOCYTES; DNA-REPLICATION; H+-ATPASE; CELLS; BINDING</t>
  </si>
  <si>
    <t>Osteoclasts mediate acid dissolution of bone for maintenance of serum [Ca2+] and for replacement of old bone in terrestrial vertebrates. Recent findings point to the importance of intracellular signals, particularly Ca2+, in osteoclast regulation. However, acid degradation of bone mineral subjects the osteoclast to uniquely high extracellular [Ca2+]. We hypothesized that this high calcium environment would affect calcium signalling mechanisms, and studied the calcium binding regulatory protein, calmodulin, in the osteoclast. Avian osteoclast bone resorption was inhibited 30% at 1 mu M and 90% at 7 mu M by the calmodulin antagonist trifluoperazine. Osteoclast bone attachment was not affected by 10 mu M trifluoperazine. Quantitative immunofluorescence using fluorescein-labelled calmodulin monoclonal antibody showed a severalfold increase of calmodulin concentration in bone attached relative to plastic attached osteoclasts. Western blots confirmed this, showing two to threefold increased osteoclast calmodulin per milligram of cell protein in 3-day bone-attached vs. nonattached cells. Scanning confocal microscopy showed calmodulin polarization to areas of bone attachment. Electron micrographs with 9 nm colloidal gold labelling showed calmodulin in the acid secreting ruffled membrane. ATP-dependent acid transport in osteoclast membrane vesicles was inhibited by the calmodulin antagonist calmidazolium. Th is effect was reversed by addition of excess calmodulin, showing that the inhibition is specific. Vesicle acid transport inhibition reflects an approximately fourfold shift in the apparent K-m for ATP of vesicular acid transport in the presence of the calmodulin antagonist. We conclude that calmodulin concentration and distribution is modified by bone attachment, and that osteoclastic acid secretion is calmodulin regulated. (C) 1994 Wiley-Liss, Inc.</t>
  </si>
  <si>
    <t>UNIV ALABAMA,DEPT PATHOL,BIRMINGHAM,AL 35294; DEPT VET AFFAIRS MED CTR,BIRMINGHAM,AL 35294</t>
  </si>
  <si>
    <t>University of Alabama System; University of Alabama Birmingham</t>
  </si>
  <si>
    <t>10.1002/jcp.1041600104</t>
  </si>
  <si>
    <t>WOS:A1994NU58600003</t>
  </si>
  <si>
    <t>Wu, LNY; Genge, BR; Ishikawa, Y; Ishikawa, T; Wuthier, RE</t>
  </si>
  <si>
    <t>Effects of 24R,25-and 1 alpha,25-dihydroxyvitamin D-3 on mineralizing growth plate chondrocytes</t>
  </si>
  <si>
    <t>1,25-dihydroxyvitamin D-3; 24,25-dihydroxyvitamin D-3; growth plate chondrocytes; proteoglycans; lactate dehydrogenase; calcium and phosphate deposition; alkaline phosphatase</t>
  </si>
  <si>
    <t>ALKALINE-PHOSPHATASE ACTIVITY; VITAMIN-D METABOLITES; PRIMARY CULTURES; CELL-MATURATION; MATRIX VESICLES; INORGANIC-PHOSPHATE; INFANTILE HYPOPHOSPHATASIA; OSTEOBLAST DIFFERENTIATION; TERMINAL DIFFERENTIATION; EPIPHYSEAL CHONDROCYTES</t>
  </si>
  <si>
    <t>Time- and dosage-dependent effects of 1,25(OH)(2)D-3 and 24,25(OH)(2)D-3 on primary Cultures of pre- and post-confluent avian growth plate (GP) chondrocytes were examined. Cultures were grown in either a serum-containing Culture medium designed to closely mimic normal GP extracellular fluid (DATP5) or a commercially available serum-free media (HL-1) frequently used for studying skeletal cells. Hoechst DNA, Lowry protein, proteoglycan (PC), lactate dehydrogenase (LDH), and alkaline phosphatase (ALP) activity and calcium and phosphate mineral deposition in the extracellular matrix were measured. In preconfluent Cultures grown in DATP5, physiological levels of 24,25(OH)(2)D-3 (0.10-10 nM) increased DNA, protein, and LDH activity significantly more than did 1,25(OH)(2)D-3 (0.01-1.0 nM). However, in HL-1, the reverse was true. Determining ratios of LDH and PG to DNA, protein, and each other, revealed that 1,25(OH)(2)D-3 specifically increased PC, whereas 24,25(OH)(2)D-3 increased LDH. Post-confluent cells were generally less responsive, especially to 24,25(OH)(2)D-3. The positive anabolic effects of 24,25(OH)(2)D-3 required serum-containing GP-fluid-like culture medium. In contrast, effects of 1,25(OH)(2)D-3 were most apparent in serum-free medium, but were still significant in serum-containing media. Administered to preconfluent cells in DATP5, 1,25(OH)(2)D-3 caused rapid, powerful, dosage-dependent inhibition of Ca2+ and Pi deposition. The lowest level tested (0.01 nM) caused &gt; 70% inhibition during the initial stages of mineral deposition; higher levels of 1,25(OH)(2)D-3 caused progressively more profound and persistent reductions. In contrast, 24,25(OH)(2)D-3 increased mineral deposition 20-50%; it required &gt; 1 week, but the effects were specific, persistent, and largely dosage-independent. From a physiological perspective, these effects can be explained as follows: 1,25(OH)(2)D-3 levels rise in hypocalcernia; it stimulates gut absorption and releases Ca2+ from bone to correct this deficiency. We now show that 1,25(OH)(2)D-3 also conserves Ca2+ by inhibiting mineralization. The slow anabolic effects of 24,25(OH)(2)D(3)are consistent with its production under eucalcemic conditions which enable bone formation. These findings, which implicate serum-binding proteins and accumulation of PG in modulating accessibility of the metabolites to GP chondrocytes, also help explain some discrepancies previously reported in the literature.</t>
  </si>
  <si>
    <t>Univ S Carolina, Dept Chem &amp; Biochem, Grad Sci Res Ctr 329, Columbia, SC 29208 USA</t>
  </si>
  <si>
    <t>University of South Carolina; University of South Carolina System; University of South Carolina Columbia</t>
  </si>
  <si>
    <t>Wuthier, RE (corresponding author), Univ S Carolina, Dept Chem &amp; Biochem, Grad Sci Res Ctr 329, Columbia, SC 29208 USA.</t>
  </si>
  <si>
    <t>wuthier@mail.chem.se.edu</t>
  </si>
  <si>
    <t>10.1002/jcb.20767</t>
  </si>
  <si>
    <t>WOS:000237234300007</t>
  </si>
  <si>
    <t>von Felden, J; Garcia-Lezana, T; Schulze, K; Losic, B; Villanueva, A</t>
  </si>
  <si>
    <t>von Felden, Johann; Garcia-Lezana, Teresa; Schulze, Kornelius; Losic, Bojan; Villanueva, Augusto</t>
  </si>
  <si>
    <t>Liquid biopsy in the clinical management of hepatocellular carcinoma</t>
  </si>
  <si>
    <t>CIRCULATING TUMOR-CELLS; FREE DNA ANALYSIS; PLASMA DNA; DISEASE PROGRESSION; DOUBLE-BLIND; PHASE-III; BIOMARKER; SORAFENIB; SURVIVAL; CANCER</t>
  </si>
  <si>
    <t>With increasing knowledge on molecular tumour information, precision oncology has revolutionised the medical field over the past years. Liquid biopsy entails the analysis of circulating tumour components, such as circulating tumour DNA, tumour cells or tumour-derived extracellular vesicles, and has thus come as a handy tool for personalised medicine in many cancer entities. Clinical applications under investigation include early cancer detection, prediction of treatment response and molecular monitoring of the disease, for example, to comprehend resistance patterns and clonal tumour evolution. In fact, several tests for blood-based mutation profiling are already commercially available and have entered the clinical field. In the context of hepatocellular carcinoma, where access to tissue specimens remains mostly limited to patients with early stage tumours, liquid biopsy approaches might be particularly helpful. A variety of translational liquid biopsy studies have been carried out to address clinical needs, such as early hepatocellular carcinoma detection and prediction of treatment response. To this regard, methylation profiling of circulating tumour DNA has evolved as a promising surveillance tool for early hepatocellular carcinoma detection in populations at risk, which might soon transform the way surveillance programmes are implemented. This review summarises recent developments in the liquid biopsy oncological space and, in more detail, the potential implications in the clinical management of hepatocellular carcinoma. It further outlines technical peculiarities across liquid biopsy technologies, which might be helpful for interpretation by non-experts.</t>
  </si>
  <si>
    <t>[von Felden, Johann; Schulze, Kornelius] Univ Klinikum Hamburg Eppendorf, Dept Internal Med, Hamburg, Germany; [Garcia-Lezana, Teresa; Villanueva, Augusto] Icahn Sch Med Mt Sinai, Liver Canc Program, Tisch Canc Inst, Div Liver Dis,Dept Med, New York, NY 10029 USA; [Losic, Bojan] Icahn Sch Med Mt Sinai, Dept Genet &amp; Genom Sci, New York, NY 10029 USA; [Villanueva, Augusto] Icahn Sch Med Mt Sinai, Dept Med, Div Hematol &amp; Med Oncol, New York, NY 10029 USA</t>
  </si>
  <si>
    <t>University of Hamburg; University Medical Center Hamburg-Eppendorf; Icahn School of Medicine at Mount Sinai; Icahn School of Medicine at Mount Sinai; Icahn School of Medicine at Mount Sinai</t>
  </si>
  <si>
    <t>von Felden, J (corresponding author), Univ Klinikum Hamburg Eppendorf, Dept Internal Med, Hamburg, Germany.;Villanueva, A (corresponding author), Icahn Sch Med Mt Sinai, Liver Canc Program, Tisch Canc Inst, Div Liver Dis,Dept Med, New York, NY 10029 USA.</t>
  </si>
  <si>
    <t>j.von-felden@uke.de; augusto.villanueva@mssm.edu</t>
  </si>
  <si>
    <t>von Felden, Johann/0000-0003-2839-5174</t>
  </si>
  <si>
    <t>10.1136/gutjnl-2019-320282</t>
  </si>
  <si>
    <t>WOS:000582822600017</t>
  </si>
  <si>
    <t>Wilson-Robles, H; Miller, T; Jarvis, J; Terrell, J; Dewsbury, N; Kelly, T; Herzog, M; Bygott, T; Hardat, N; Michel, G</t>
  </si>
  <si>
    <t>Wilson-Robles, Heather; Miller, Tasha; Jarvis, Jill; Terrell, Jason; Dewsbury, Nathan; Kelly, Terry; Herzog, Marielle; Bygott, Thomas; Hardat, Nathalie; Michel, Gaetan</t>
  </si>
  <si>
    <t>Evaluation of nucleosome concentrations in healthy dogs and dogs with cancer</t>
  </si>
  <si>
    <t>CELL-FREE DNA; CORE PARTICLE; PLASMA; OSTEOSARCOMA; EXOSOMES; EDTA; H3.1</t>
  </si>
  <si>
    <t>Introduction Nucleosomes consist of small fragments of DNA wrapped around a histone octamer core. Diseases such as cancer or inflammation lead to cell death, which causes fragmentation and release of nucleosomes into the blood. The Nu.Q((TM))technology measures circulating nucleosome levels and exploits the different compositions of cancer derived nucleosomes in blood to detect and identify cancer even at early stages. The objectives of this study are to identify the optimal sample type for the Nu.Q((TM))H3.1 assay and to determine if it can accurately detect nucleosomes in the blood of healthy canines as well as those with cancer. Materials and methods Blood samples from healthy canine volunteers as well as dogs newly diagnosed with lymphoma were used. The blood was processed at a variety of times under a variety of conditions to determine the most reliable sample type and conditions, and to develop an appropriate processing strategy to ensure reliably accurate results. Results Nucleosomes could be detected using a variety of sample collection and processing protocols. Nucleosome signals were highest in EDTA plasma and serum samples and most consistent in plasma. Samples should be processed within an hour of collection. Experiments showed that samples were able to withstand several freeze thaw cycles. Processing time and tcollection tube type did affect nucleosome detection levels. Finally, significantly elevated concentrations of nucleosomes were seen in a small cohort of dogs that had been newly diagnosed with lymphoma. Conclusions When samples are collected and processed appropriately, the Nu.Q((TM))platform can reliably detect nucleosomes in the plasma of dogs. Further testing is underway to validate and optimize the Nu.Q((TM))platform for veterinary use.</t>
  </si>
  <si>
    <t>[Wilson-Robles, Heather; Miller, Tasha; Jarvis, Jill] Texas A&amp;M Univ, Coll Vet Med, Small Anim Clin Sci Dept, College Stn, TX 77843 USA; [Terrell, Jason; Dewsbury, Nathan; Kelly, Terry] Volit Amer &amp; Volit Vet Diagnost Dev, Austin, TX USA; [Herzog, Marielle; Bygott, Thomas; Hardat, Nathalie; Michel, Gaetan] Belgian Volit SPRL, Isnes, Belgium</t>
  </si>
  <si>
    <t>Texas A&amp;M University System; Texas A&amp;M University College Station</t>
  </si>
  <si>
    <t>Wilson-Robles, H (corresponding author), Texas A&amp;M Univ, Coll Vet Med, Small Anim Clin Sci Dept, College Stn, TX 77843 USA.</t>
  </si>
  <si>
    <t>hwilson@cvm.tamu.edu</t>
  </si>
  <si>
    <t>Wilson-Robles, Heather/D-4209-2016</t>
  </si>
  <si>
    <t>Wilson-Robles, Heather/0000-0002-6489-8468</t>
  </si>
  <si>
    <t>e0236228</t>
  </si>
  <si>
    <t>10.1371/journal.pone.0236228</t>
  </si>
  <si>
    <t>WOS:000567946300023</t>
  </si>
  <si>
    <t>Zhang, LX; Parvin, R; Fan, QH; Ye, FF</t>
  </si>
  <si>
    <t>Zhang, Lexiang; Parvin, Rokshana; Fan, Qihui; Ye, Fangfu</t>
  </si>
  <si>
    <t>Emerging digital PCR technology in precision medicine</t>
  </si>
  <si>
    <t>Digital PCR; Precision medicine; Diagnostic; Microfluidics; Nucleic acids detection; Cancer therapy; Infectious disease</t>
  </si>
  <si>
    <t>CELL-FREE DNA; POLYMERASE-CHAIN-REACTION; CIRCULATING TUMOR-CELLS; BREAST-CANCER; DROPLET MICROFLUIDICS; KRAS MUTATIONS; COPY NUMBERS; QUANTIFICATION; PLASMA; RNA</t>
  </si>
  <si>
    <t>Digital PCR (dPCR) is built on partitioning reagent to the extent that single template molecules are amplified and visualized individually, whereby offers higher precision and other better indicators than the former PCR techniques. Accordingly, dPCR is particular suited for precision medicine applications that require accurate molecular characterization with high sensitivity. This review aims to summarize different applications of dPCR in precision medicine. The state-of-the-art progress of dPCR technique is first introduced, including novel prototype machines and dPCR-integrated biochips. Then the clinical applications based on dPCR technique are briefly described, for instance, detecting biomarkers from tissues and various biopsies components including cell free DNA, circulating tumor cells, extracellular vesicles, and proteins. These emerging dPCR applications have been accepted as auxiliary diagnostic methods in various areas like oncology, infectious disease, and the like. Meanwhile, a usage overview is provided, focusing on successful clinical pilot studies that dPCR is utilized to improve the performances of rare event detection, fine resolution of gene expression analysis, and multiplexing. Finally, some implications and challenges in future research concerning dPCR technique are also discussed.</t>
  </si>
  <si>
    <t>[Zhang, Lexiang; Parvin, Rokshana; Ye, Fangfu] Univ Chinese Acad Sci, Wenzhou Inst, Oujiang Lab, Zhejiang Lab Regenerat Med,Vis &amp; Brain Hlth, Wenzhou 325000, Zhejiang, Peoples R China; [Fan, Qihui; Ye, Fangfu] Chinese Acad Sci, Inst Phys, Beijing Natl Lab Condensed Matter Phys, Beijing 100190, Peoples R China</t>
  </si>
  <si>
    <t>Chinese Academy of Sciences; University of Chinese Academy of Sciences, CAS; Chinese Academy of Sciences; Institute of Physics, CAS</t>
  </si>
  <si>
    <t>Ye, FF (corresponding author), Univ Chinese Acad Sci, Wenzhou Inst, Oujiang Lab, Zhejiang Lab Regenerat Med,Vis &amp; Brain Hlth, Wenzhou 325000, Zhejiang, Peoples R China.;Fan, QH; Ye, FF (corresponding author), Chinese Acad Sci, Inst Phys, Beijing Natl Lab Condensed Matter Phys, Beijing 100190, Peoples R China.</t>
  </si>
  <si>
    <t>fanqh@iphy.ac.cn; fye@iphy.ac.cn</t>
  </si>
  <si>
    <t>Zhang, Lexiang/0000-0003-0374-4382</t>
  </si>
  <si>
    <t>10.1016/j.bios.2022.114344</t>
  </si>
  <si>
    <t>WOS:000806011800005</t>
  </si>
  <si>
    <t>Thalin, C; Blomgren, B; Mobarrez, F; Lundstrom, A; Laska, AC; von Arbin, M; von Heijne, A; Rooth, E; Wallen, H; Aspberg, S</t>
  </si>
  <si>
    <t>Thalin, Charlotte; Blomgren, Bo; Mobarrez, Fariborz; Lundstrom, Annika; Laska, Ann Charlotte; von Arbin, Magnus; von Heijne, Anders; Rooth, Elisabeth; Wallen, Hakan; Aspberg, Sara</t>
  </si>
  <si>
    <t>Trousseau's Syndrome, a Previously Unrecognized Condition in Acute Ischemic Stroke Associated With Myocardial Injury</t>
  </si>
  <si>
    <t>JOURNAL OF INVESTIGATIVE MEDICINE HIGH IMPACT CASE REPORTS</t>
  </si>
  <si>
    <t>stroke; troponin; myocardial infarction; Trousseau; malignancy; thrombosis</t>
  </si>
  <si>
    <t>NEUTROPHIL EXTRACELLULAR TRAPS; ELEVATED TROPONIN; DNA TRAPS; MICROPARTICLES; THROMBOSIS; CANCER</t>
  </si>
  <si>
    <t>Trousseau's syndrome is a well-known malignancy associated hypercoagulative state leading to venous or arterial thrombosis. The pathophysiology is however poorly understood, although multiple mechanisms are believed to be involved. We report a case of Trousseau's syndrome resulting in concomitant cerebral and myocardial microthrombosis, presenting with acute ischemic stroke and markedly elevated plasma troponin T levels suggesting myocardial injury. Without any previous medical history, the patient developed multiple cerebral infarctions and died within 11 days of admission. The patient was postmortem diagnosed with an advanced metastatic adenocarcinoma of the prostate with disseminated cerebral, pulmonary, and myocardial microthrombosis. Further analyses revealed, to the best of our knowledge for the first time in stroke patients, circulating microvesicles positive for the epithelial tumor marker CK18 and citrullinated histone H3 in thrombi, markers of the recently described cancer-associated procoagulant DNA-based neutrophil extracellular traps. We also found tissue factor, the main in vivo initiator of coagulation, both in thrombi and in metastases. Troponin elevation in acute ischemic stroke is common and has repeatedly been associated with an increased risk of mortality. The underlying pathophysiology is however not fully clarified, although a number of possible explanations have been proposed. We now suggest that unexplainable high levels of troponin in acute ischemic stroke deserve special attention in terms of possible occult malignancy.</t>
  </si>
  <si>
    <t>[Thalin, Charlotte; Lundstrom, Annika; Laska, Ann Charlotte; von Arbin, Magnus; Rooth, Elisabeth] Karolinska Inst, Dept Clin Sci, Div Internal Med, Danderyd Hosp, S-18288 Stockholm, Sweden; [Blomgren, Bo] Karolinska Inst, Dept Clin Sci, Div Pathol, Danderyd Hosp, Stockholm, Sweden; [Mobarrez, Fariborz; Wallen, Hakan; Aspberg, Sara] Karolinska Inst, Dept Clin Sci, Div Cardiovasc Med, Danderyd Hosp, Stockholm, Sweden; [von Heijne, Anders] Karolinska Inst, Dept Clin Sci, Div Radiol, Danderyd Hosp, Stockholm, Sweden</t>
  </si>
  <si>
    <t>Danderyds Hospital; Karolinska Institutet; Danderyds Hospital; Karolinska Institutet; Danderyds Hospital; Karolinska Institutet; Danderyds Hospital; Karolinska Institutet</t>
  </si>
  <si>
    <t>Thalin, C (corresponding author), Karolinska Inst, Dept Clin Sci, Div Internal Med, Danderyd Hosp, S-18288 Stockholm, Sweden.</t>
  </si>
  <si>
    <t>charlotte.thalin@ds.se</t>
  </si>
  <si>
    <t>Mobarrez, Fariborz/0000-0002-7106-6248; Laska, Ann Charlotte/0000-0002-7330-940X</t>
  </si>
  <si>
    <t>2324-7096</t>
  </si>
  <si>
    <t>APR-JUN</t>
  </si>
  <si>
    <t>10.1177/2324709614539283</t>
  </si>
  <si>
    <t>WOS:000457916800014</t>
  </si>
  <si>
    <t>Meng, Y; Pople, CB; Suppiah, S; Llinas, M; Huang, YX; Sahgal, A; Perry, J; Keith, J; Davidson, B; Hamani, C; Amemiya, Y; Seth, A; Leong, H; Heyn, CC; Aubert, I; Hynynen, K; Lipsman, N</t>
  </si>
  <si>
    <t>Meng, Ying; Pople, Christopher B.; Suppiah, Suganth; Llinas, Maheleth; Huang, Yuexi; Sahgal, Arjun; Perry, James; Keith, Julia; Davidson, Benjamin; Hamani, Clement; Amemiya, Yutaka; Seth, Arun; Leong, Hon; Heyn, Chinthaka C.; Aubert, Isabelle; Hynynen, Kullervo; Lipsman, Nir</t>
  </si>
  <si>
    <t>MR-guided focused ultrasound liquid biopsy enriches circulating biomarkers in patients with brain tumors</t>
  </si>
  <si>
    <t>blood-brain barrier; brain tumor; focused ultrasound; glioblastoma; liquid biopsy</t>
  </si>
  <si>
    <t>BARRIER DISRUPTION; DNA</t>
  </si>
  <si>
    <t>Background. Liquid biopsy is promising for early detection, monitoring of response, and recurrence of cancer. The blood-brain barrier (BBB) limits the shedding of biomarker, such as cell-free DNA (cfDNA), into the blood from brain tumors, and their detection by conventional assays. Transcranial MR-guided focused ultrasound (MRgFUS) can safely and transiently open the BBB, providing an opportunity for less-invasive access to brain pathology. We hypothesized that MRgFUS can enrich the signal of circulating brain-derived biomarkers to aid in liquid biopsy. Methods. Nine patients were treated in a prospective single-arm, open-label trial to investigate serial MRgFUS and adjuvant temozolomide combination in patients with glioblastoma (NCT03616860). Blood samples were collected as an exploratory measure within the hours before and after sonication, with control samples from non-brain tumor patients undergoing BBB opening (BBBO) alone (NCT03739905). Results. Brain regions averaging 7.8 +/- 6.0 cm(3) (range 0.8-23.1 cm(3)) were successfully treated within 111 +/- 39 minutes without any serious adverse events. We found MRgFUS acutely enhanced plasma cfDNA (2.6 +/- 1.2-fold, P &lt; .01, Wilcoxon signed-rank test), neuron-derived extracellular vesicles (3.2 +/- 1.9-fold, P &lt; .01), and brain-specific protein S100b (1.4 +/- 0.2-fold, P &lt; .01). Further comparison of the cfDNA methylation profiles suggests a signature that is disease- and post-BBBO-specific, in keeping with our hypothesis, We also found cfDNA-mutant copies of isocitrate dehydrogenase 1 (IDH1) increased, although this was in only one patient known to harbor the tumor mutation. Conclusions. This first-in-human proof-of-concept study shows MRgFUS enriches the signal of circulating brain-derived biomarkers, demonstrating the potential of the technology to support liquid biopsy for the brain.</t>
  </si>
  <si>
    <t>[Meng, Ying; Pople, Christopher B.; Llinas, Maheleth; Huang, Yuexi; Sahgal, Arjun; Perry, James; Keith, Julia; Davidson, Benjamin; Hamani, Clement; Amemiya, Yutaka; Seth, Arun; Leong, Hon; Heyn, Chinthaka C.; Aubert, Isabelle; Hynynen, Kullervo; Lipsman, Nir] Sunnybrook Res Inst, Toronto, ON, Canada; [Meng, Ying; Suppiah, Suganth; Davidson, Benjamin; Hamani, Clement; Lipsman, Nir] Univ Toronto, Dept Surg, Div Neurosurg, Toronto, ON, Canada; [Sahgal, Arjun; Perry, James] Sunnybrook Hlth Sci Ctr, Odette Canc Ctr, Toronto, ON, Canada; [Sahgal, Arjun] Univ Toronto, Fac Med, Dept Radiat Oncol, Toronto, ON, Canada; [Perry, James] Univ Toronto, Dept Med, Div Neurol, Toronto, ON, Canada; [Keith, Julia; Seth, Arun; Aubert, Isabelle] Univ Toronto, Dept Lab Med &amp; Pathobiol, Toronto, ON, Canada; [Heyn, Chinthaka C.] Univ Toronto, Sunnybrook Hlth Sci Ctr, Dept Med Imaging, Toronto, ON, Canada; [Leong, Hon; Hynynen, Kullervo] Univ Toronto, Dept Med Biophys, Toronto, ON, Canada</t>
  </si>
  <si>
    <t>University of Toronto; Sunnybrook Health Science Center; Sunnybrook Research Institute; University of Toronto; University of Toronto; Sunnybrook Health Science Center; Sunnybrook Research Institute; University of Toronto; University of Toronto; University of Toronto; University of Toronto; Sunnybrook Health Science Center; Sunnybrook Research Institute; University of Toronto</t>
  </si>
  <si>
    <t>Lipsman, N (corresponding author), Sunnybrook Res Inst, Div Neurosurg, Harquail Ctr Neuromodulat, Hurvitz Brain Sci Res Program,Sunnybrook Hlth Sci, 2075 Bayview Ave, Toronto, ON M4N 3M5, Canada.</t>
  </si>
  <si>
    <t>nir.lipsman@sunnybrook.ca</t>
  </si>
  <si>
    <t>Meng, Ying/0000-0003-3180-2404; Pople, Christopher/0000-0002-7014-3280</t>
  </si>
  <si>
    <t>10.1093/neuonc/noab057</t>
  </si>
  <si>
    <t>WOS:000708743700019</t>
  </si>
  <si>
    <t>Wang, L; Huang, JX; Jiang, MH; Chen, QC; Jiang, ZF; Feng, HT</t>
  </si>
  <si>
    <t>Wang, Lin; Huang, Juxiang; Jiang, Minghu; Chen, Qingchun; Jiang, Zhenfu; Feng, Haitao</t>
  </si>
  <si>
    <t>CAMK1 Phosphoinositide Signal-Mediated Protein Sorting and Transport Network in Human Hepatocellular Carcinoma (HCC) by Biocomputation</t>
  </si>
  <si>
    <t>CELL BIOCHEMISTRY AND BIOPHYSICS</t>
  </si>
  <si>
    <t>CAMK1; Human hepatocellular carcinoma (HCC); Phosphoinositide signal-mediated protein sorting and transport network; Biocomputation</t>
  </si>
  <si>
    <t>CYCLE COMPUTATIONAL NETWORK; HEPATITIS/CIRRHOSIS; CONSTRUCTION</t>
  </si>
  <si>
    <t>We data-analyzed and constructed the high-expression CAMK1 phosphoinositide signal-mediated protein sorting and transport network in human hepatocellular carcinoma (HCC) compared with low-expression (fold change &gt;= 2) no-tumor hepatitis/cirrhotic tissues (HBV or HCV infection) in GEO data set, using integration of gene regulatory network inference method with gene ontology (GO). Our result showed that CAMK1 transport subnetwork upstream KCNQ3, LCN2, NKX2_ 5, NUP62, SORT1, STX1A activated CAMK1, and downstream CAMK1-activated AFP, ENAH, KPNA2, SLC4A3; CAMK1 signal subnetwork upstream BRCA1, DKK1, GPSM2, LEF1, NR5A1, NUP62, SORT1, SSTR5, TBL3 activated CAMK1, and downstream CAMK1-activated MAP2K6, SFRP4, SSTR5, TSHB, UBE2C in HCC. We proposed that CAMK1 activated network enhanced endosome to lysosome transport, endosome transport via multivesicular body sorting pathway, Golgi to endosome transport, intracellular protein transmembrane transport, intracellular protein transport, ion transport, mRNA transport, plasma membrane to endosome transport, potassium ion transport, protein transport, vesicle-mediated transport, anion transport, intracellular transport, androgen receptor signaling pathway, cell surface receptor-linked signal transduction, hormone-mediated signaling, induction of apoptosis by extracellular signals, signal transduction by p53 class mediator resulting in transcription of p21 class mediator, signal transduction resulting in induction of apoptosis, phosphoinositide-mediated signaling, Wnt receptor signaling pathway, as a result of inducing phosphoinositide signal-mediated protein sorting, and transport in HCC. Our hypothesis was verified by CAMK1 functional regulation subnetwork containing positive regulation of calcium ion transport via voltage gated calcium channel, cell proliferation, DNA repair, exocytosis, I-kappaB kinase/NF-kappaB cascade, immunoglobulin-mediated immune response, mast cell activation, natural killer cell-mediated cytotoxicity directed against tumor cell target, protein ubiquitination, sodium ion transport, survival gene product activity, T cell-mediated cytotoxicity, transcription, transcription from RNA polymerase II promoter, transcription initiation from RNA polymerase II promoter, transcription via serum response element binding, exit from mitosis, ubiquitin ligase activity during mitotic cell cycle, regulation of angiogenesis, apoptosis, cell growth, cell proliferation, cyclin-dependent protein kinase activity, gene expression, insulin secretion, steroid biosynthesis, transcription from RNA polymerase II promoter, transcription from RNA polymerase III promoter, cell cycle, cell migration, DNA recombination, and protein metabolism; also by CAMK1 negative functional regulation subnetwork including negative regulation of apoptosis, cell proliferation, centriole replication, fatty acid biosynthesis, lipoprotein lipase activity, MAPK activity, progression through cell cycle, transcription, transcription from RNA polymerase II promoter, cell growth, phosphorylation, and ubiquitin ligase activity during mitotic cell cycle in HCC.</t>
  </si>
  <si>
    <t>[Wang, Lin; Huang, Juxiang; Chen, Qingchun] Beijing Univ Posts &amp; Telecommun, Sch Elect Engn, Biomed Ctr, Beijing 100876, Peoples R China; [Wang, Lin] Chinese Acad Sci, Shanghai Inst Mat Med, State Key Lab Drug Res, Shanghai 201203, Peoples R China; [Jiang, Minghu] Tsinghua Univ, Lab Computat Linguist, Sch Humanities &amp; Social Sci, Beijing 100084, Peoples R China; [Jiang, Zhenfu] China Univ Min &amp; Technol, Sch Mech Elect &amp; Informat Engn, Beijing 100083, Peoples R China; [Feng, Haitao] Heilongjiang Univ Chinese Med, Dean Dept, Harbin 150040, Peoples R China</t>
  </si>
  <si>
    <t>Beijing University of Posts &amp; Telecommunications; Chinese Academy of Sciences; Shanghai Institute of Materia Medica, CAS; Tsinghua University; China University of Mining &amp; Technology; Heilongjiang University of Chinese Medicine</t>
  </si>
  <si>
    <t>Wang, L (corresponding author), Beijing Univ Posts &amp; Telecommun, Sch Elect Engn, Biomed Ctr, Beijing 100876, Peoples R China.</t>
  </si>
  <si>
    <t>wanglin98@tsinghua.org.cn</t>
  </si>
  <si>
    <t>Wang, Lin/0000-0003-2433-8594</t>
  </si>
  <si>
    <t>1085-9195</t>
  </si>
  <si>
    <t>1559-0283</t>
  </si>
  <si>
    <t>10.1007/s12013-014-0011-8</t>
  </si>
  <si>
    <t>WOS:000343143500035</t>
  </si>
  <si>
    <t>Schneider, R; McKeever, P; Kim, T; Graff, C; van Swieten, JC; Karydas, A; Boxer, A; Rosen, H; Miller, BL; Laforce, R; Galimberti, D; Masellis, M; Borroni, B; Zhang, ZL; Zinman, L; Rohrer, JD; Tartaglia, MC; Robertson, J</t>
  </si>
  <si>
    <t>Schneider, Raphael; McKeever, Paul; Kim, TaeHyung; Graff, Caroline; van Swieten, John Cornelis; Karydas, Anna; Boxer, Adam; Rosen, Howie; Miller, Bruce L.; Laforce, Robert, Jr.; Galimberti, Daniela; Masellis, Mario; Borroni, Barbara; Zhang, Zhaolei; Zinman, Lorne; Rohrer, Jonathan Daniel; Tartaglia, Maria Carmela; Robertson, Janice</t>
  </si>
  <si>
    <t>Genetic FTD Initiative GENFI</t>
  </si>
  <si>
    <t>Downregulation of exosomal miR-204-5p and miR-632 as a biomarker for FTD: a GENFI study</t>
  </si>
  <si>
    <t>JOURNAL OF NEUROLOGY NEUROSURGERY AND PSYCHIATRY</t>
  </si>
  <si>
    <t>FRONTOTEMPORAL LOBAR DEGENERATION; AMYOTROPHIC-LATERAL-SCLEROSIS; PROGRANULIN DEFICIENCY; COMPREHENSIVE ATLAS; ALZHEIMERS-DISEASE; NEURITE OUTGROWTH; DEMENTIA; CELLS; EXPRESSION; PATHWAYS</t>
  </si>
  <si>
    <t>Objective To determine whether exosomal microRNAs (miRNAs) in cerebrospinal fluid (CSF) of patients with frontotemporal dementia (FTD) can serve as diagnostic biomarkers, we assessed miRNA expression in the Genetic Frontotemporal Dementia Initiative (GENFI) cohort and in sporadic FTD. Methods GENFI participants were either carriers of a pathogenic mutation in progranulin, chromosome 9 open reading frame 72 or microtubule-associated protein tau or were at risk of carrying a mutation because a first-degree relative was a known symptomatic mutation carrier. Exosomes were isolated from CSF of 23 presymptomatic and 15 symptomatic mutation carriers and 11 healthy non-mutation carriers. Expression of 752 miRNAs was measured using quantitative PCR (qPCR) arrays and validated by qPCR using individual primers. MiRNAs found differentially expressed in symptomatic compared with presymptomatic mutation carriers were further evaluated in a cohort of 17 patients with sporadic FTD, 13 patients with sporadic Alzheimer's disease (AD) and 10 healthy controls (HCs) of similar age. Results In the GENFI cohort, miR-204-5p and miR-632 were significantly decreased in symptomatic compared with presymptomatic mutation carriers. Decrease of miR-204-5p and miR-632 revealed receiver operator characteristics with an area of 0.89 (90% CI 0.79 to 0.98) and 0.81 (90% CI 0.68 to 0.93), respectively, and when combined an area of 0.93 (90% CI 0.87 to 0.99). In sporadic FTD, only miR-632 was significantly decreased compared with AD and HCs. Decrease of miR-632 revealed an area of 0.90 (90% CI 0.81 to 0.98). Conclusions Exosomal miR-204-5p and miR-632 have potential as diagnostic biomarkers for genetic FTD and miR-632 also for sporadic FTD.</t>
  </si>
  <si>
    <t>[Schneider, Raphael; McKeever, Paul; Robertson, Janice] Univ Toronto, Dept Lab Med &amp; Pathobiol, Toronto, ON, Canada; [Schneider, Raphael; McKeever, Paul; Tartaglia, Maria Carmela; Robertson, Janice] Univ Toronto, Tanz Ctr Res Neurodegenerat Dis, Toronto, ON M5T 2S8, Canada; [Kim, TaeHyung] Univ Toronto, Dept Comp Sci, Toronto, ON, Canada; [Kim, TaeHyung; Zhang, Zhaolei] Univ Toronto, Donnelly Ctr Cellular &amp; Biomol Res, Toronto, ON, Canada; [Graff, Caroline] Karolinska Inst, Dept Neurobiol, Stockholm, Sweden; [van Swieten, John Cornelis] Erasmus MC, Dept Neurol, Rotterdam, Netherlands; [Karydas, Anna; Boxer, Adam; Rosen, Howie; Miller, Bruce L.] Univ Calif San Francisco, Dept Neurol, San Francisco, CA 94143 USA; [Laforce, Robert, Jr.] Univ Laval, Dept Sci Neurol, Quebec City, PQ, Canada; [Galimberti, Daniela] Univ Milan, Ctr Dino Ferrari, Fdn Ca Granda IRCCS Osped Policlin, Milan, Italy; [Masellis, Mario] Univ Toronto, LC Campbell Cognit Neurol Res Unit, Toronto, ON, Canada; [Masellis, Mario; Zinman, Lorne] Univ Toronto, Sunnybrook Hlth Sci Ctr, Toronto, ON, Canada; [Borroni, Barbara] Univ Brescia, Neurol Unit, Ctr Ageing Brain &amp; Neurodegenerat Disorders, Brescia, Italy; [Zhang, Zhaolei] Univ Toronto, Dept Mol Genet, Toronto, ON, Canada; [Rohrer, Jonathan Daniel] UCL, Dementia Res Ctr, London, England; [Tartaglia, Maria Carmela] Univ Hlth Network, Memory Clin, Toronto, ON, Canada</t>
  </si>
  <si>
    <t>University of Toronto; University of Toronto; University of Toronto; University of Toronto; Karolinska Institutet; Erasmus University Rotterdam; Erasmus MC; University of California System; University of California San Francisco; Laval University; IRCCS Ca Granda Ospedale Maggiore Policlinico; University of Milan; University of Toronto; University of Toronto; Sunnybrook Health Science Center; Sunnybrook Research Institute; University of Brescia; University of Toronto; University of London; University College London; University of Toronto; University Health Network Toronto</t>
  </si>
  <si>
    <t>Robertson, J (corresponding author), Univ Toronto, Tanz Ctr Res Neurodegenerat Dis, Toronto, ON M5T 2S8, Canada.</t>
  </si>
  <si>
    <t>jan.robertson@utoronto.ca</t>
  </si>
  <si>
    <t>Fumagalli, Giorgio G/L-8306-2013; Frisoni, Giovanni B/K-1360-2016; BENUSSI, LUISA/K-4409-2016; PRIONI, SARA/AAI-1353-2021; Bocchetta, Martina/T-4303-2019; Grisoli, Marina/AAR-1268-2021; graff, caroline/A-2545-2009; Schneider, Raphael/H-2782-2019; Rossi, Giacomina/I-2783-2012; Bocchetta, Martina/B-6331-2013; Redaelli, Veronica/AAC-2707-2019; Borroni, Barbara/AAN-4105-2020; Galimberti, Daniela/N-7209-2019; Rowe, James/C-3661-2013</t>
  </si>
  <si>
    <t>Fumagalli, Giorgio G/0000-0003-0687-7199; Frisoni, Giovanni B/0000-0002-6419-1753; BENUSSI, LUISA/0000-0003-2836-8141; PRIONI, SARA/0000-0001-9632-0591; Bocchetta, Martina/0000-0003-1814-5024; Grisoli, Marina/0000-0002-7663-446X; Schneider, Raphael/0000-0003-1776-2418; Rossi, Giacomina/0000-0001-6680-2725; Bocchetta, Martina/0000-0003-1814-5024; Redaelli, Veronica/0000-0001-7841-8560; Galimberti, Daniela/0000-0002-9284-5953; Maruta, Carolina/0000-0003-3359-379X; Graff, Caroline/0000-0002-9949-2951; Laforce, Robert Jr/0000-0002-2031-490X; Rowe, James/0000-0001-7216-8679; Rohrer, Jonathan/0000-0002-6155-8417; Miller, Bruce/0000-0002-2152-4220</t>
  </si>
  <si>
    <t>0022-3050</t>
  </si>
  <si>
    <t>1468-330X</t>
  </si>
  <si>
    <t>10.1136/jnnp-2017-317492</t>
  </si>
  <si>
    <t>Clinical Neurology; Psychiatry; Surgery</t>
  </si>
  <si>
    <t>Neurosciences &amp; Neurology; Psychiatry; Surgery</t>
  </si>
  <si>
    <t>WOS:000442475000017</t>
  </si>
  <si>
    <t>Birts, CN; Barton, CH; Wilton, DC</t>
  </si>
  <si>
    <t>Birts, Charles N.; Barton, C. Howard; Wilton, David C.</t>
  </si>
  <si>
    <t>A catalytically independent physiological function for human acute phase protein group IIA phospholipase A(2) - Cellular uptake facilitates cell debris removal</t>
  </si>
  <si>
    <t>ARGININE-RICH PEPTIDES; PENETRATING PEPTIDES; HEPARAN-SULFATE; ANTIBACTERIAL PROPERTIES; INTERFACIAL BINDING; LIPOPROTEIN-LIPASE; HUMAN NEUTROPHILS; ESCHERICHIA-COLI; ARACHIDONIC-ACID; PLASMA-MEMBRANE</t>
  </si>
  <si>
    <t>Human group IIA phospholipase A(2) (IIA PLA(2)) is an acute phase protein first identified at high concentrations in synovial fluid from patients with rheumatoid arthritis. Its physiological role has since been debated; the enzyme has a very high affinity for anionic phospholipid interfaces but expresses almost zero activity with zwitter-ionic phospholipid substrates, because of a lack of interfacial binding. We have prepared the cysteine-containing mutant (S74C) to allow the covalent attachment of fluorescent reporter groups. We show that fluorescently labeled IIA was taken up by phorbol 12-myristate 13-acetate-activated THP-1 cells in an energy-dependent process involving cell surface heparan sulfate proteoglycans. Uptake concurrently involved significant cell swelling, characteristic of macropinocytosis and the fluorescent enzyme localized to the nucleus. The endocytic process did not necessitate enzyme catalysis, ruling out membrane phospholipid hydrolysis as an essential requirement. The enzyme produced supramolecular aggregates with anionic phospholipid vesicles as a result of bridging between particles, a property that is unique to this globally cationic IIA PLA2. Uptake of such aggregates labeled with fluorescent anionic phospholipid was dramatically enhanced by the IIA protein, and uptake involved binding to heparan sulfate proteoglycans on activated THP-1 cells. A physiological role for this protein is proposed that involves the removal of anionic extracellular cell debris, including anionic microparticles generated as a result of trauma, infection, and the inflammatory response, and under such conditions serum levels of IIA PLA2 can increase similar to 1000-fold. A similar pathway may be significant in the uptake into cells of anionic vector DNA involving cationic lipid transfection protocols.</t>
  </si>
  <si>
    <t>[Birts, Charles N.; Barton, C. Howard; Wilton, David C.] Univ Southampton, Sch Biol Sci, Southampton SO16 7PX, Hants, England</t>
  </si>
  <si>
    <t>University of Southampton</t>
  </si>
  <si>
    <t>Wilton, DC (corresponding author), Univ Southampton, Sch Biol Sci, Basett Crescent E, Southampton SO16 7PX, Hants, England.</t>
  </si>
  <si>
    <t>dcw@soton.ac.uk</t>
  </si>
  <si>
    <t>Birts, Charles N/N-9845-2013</t>
  </si>
  <si>
    <t>Birts, Charles/0000-0002-0368-8766</t>
  </si>
  <si>
    <t>FEB 22</t>
  </si>
  <si>
    <t>10.1074/jbc.M708844200</t>
  </si>
  <si>
    <t>WOS:000253426500061</t>
  </si>
  <si>
    <t>Boufker, HI; Lagneaux, L; Fayyad-Kazan, H; Badran, B; Najar, M; Wiedig, M; Ghanem, G; Laurent, G; Body, JJ; Journe, F</t>
  </si>
  <si>
    <t>Boufker, Hichame Id; Lagneaux, Laurence; Fayyad-Kazan, Hussein; Badran, Bassam; Najar, Mehdi; Wiedig, Murielle; Ghanem, Ghanem; Laurent, Guy; Body, Jean-Jacques; Journe, Fabrice</t>
  </si>
  <si>
    <t>Role of farnesoid X receptor (FXR) in the process of differentiation of bone marrow stromal cells into osteoblasts</t>
  </si>
  <si>
    <t>BONE</t>
  </si>
  <si>
    <t>Farnesoid X receptor; Bile acids; Bisphosphonates; Bone marrow stromal cells; Osteoblasts</t>
  </si>
  <si>
    <t>MESENCHYMAL STEM-CELLS; BREAST-CANCER CELLS; BILE-ACID RECEPTOR; SALT EXPORT PUMP; NUCLEAR RECEPTOR; IN-VITRO; OSTEOGENIC DIFFERENTIATION; MEVALONATE PATHWAY; LIPID HOMEOSTASIS; NATURAL PRODUCT</t>
  </si>
  <si>
    <t>Bone tissue contains bile acids which accumulate from serum and which can be released in large amounts in the bone microenvironment during bone resorption. However, the direct effects of bile acids on bone cells remain largely unexplored. Bile acids have been identified as physiological ligands of the farnesoid X receptor (FXR, NR1H4). In the present study, we have examined the effects of FXR activation/inhibition on the osteoblastic differentiation of human bone marrow stromal cells (BMSC). We first demonstrated the expression of FXR in BMSC and SaOS2 osteoblast-like cells, and observed that FXR activation by chenodeoxycholic acid (CDCA) or by farnesol (FOH) increases the activity of alkaline phosphatase and the calcification of the extracellular matrix. In addition, we observed that FXR agonists are able to stimulate the expression of osteoblast marker genes [bone sialoprotein (BSP), osteocalcin (DC), osteopontin (OPN) and alkaline phosphatase (ALP)] (FXR involvement validated by shRNA-induced gene silencing), as well as the DNA binding activity of the bone transcription factor RUNX2 (EMSA and ChIP assay). Importantly, we observed that nitrogen-containing bisphosphonates (BPS) inhibit the basal osteoblastic differentiation of BMSC, possibly through suppression of endogenous FOH production, independently of their effects on protein prenylation. Likewise, we found that the FXR antagonist guggulsterone (GGS) inhibits ALP activity, calcium deposition, DNA binding of RUNX2, and bone marker expression, indicating that GGS interferes with osteoblastic differentiation. Furthermore, GGS induced the appearance of lipid vesicles in BMSC and stimulated the expression of adipose tissue markers (peroxisome proliferator activated receptor-gamma (PPAR gamma), adipoQ leptin and CCAAT/enhancer-binding protein-alpha (C/EBP alpha)). In conclusion, our data support a new role for FXR in the modulation of osteoblast/adipocyte balance: its activation stimulates RUNX2-mediated osteoblastic differentiation of BMSC, whereas its inhibition leads to an adipocyte-like phenotype. (C) 2011 Elsevier Inc. All rights reserved.</t>
  </si>
  <si>
    <t>[Boufker, Hichame Id; Wiedig, Murielle; Ghanem, Ghanem; Journe, Fabrice] Univ Libre Bruxelles, Inst Jules Bordet, Lab Oncol &amp; Chirurg Expt, B-1000 Brussels, Belgium; [Boufker, Hichame Id; Lagneaux, Laurence; Fayyad-Kazan, Hussein; Badran, Bassam; Najar, Mehdi] Univ Libre Bruxelles, Inst Jules Bordet, Lab Hematol Expt, B-1000 Brussels, Belgium; [Laurent, Guy] Univ Mons, Serv Histol, B-7000 Mons, Belgium; [Body, Jean-Jacques] Univ Libre Bruxelles, CHU Brugmann, Med Serv, B-1000 Brussels, Belgium</t>
  </si>
  <si>
    <t>Institut Jules Bordet; Universite Libre de Bruxelles; Institut Jules Bordet; Universite Libre de Bruxelles; University of Mons; Universite Libre de Bruxelles</t>
  </si>
  <si>
    <t>Journe, F (corresponding author), Univ Libre Bruxelles, Inst Jules Bordet, Lab Oncol &amp; Chirurg Expt, 1 rue Heger Bordet, B-1000 Brussels, Belgium.</t>
  </si>
  <si>
    <t>fabrice.journe@bordet.be</t>
  </si>
  <si>
    <t>Body, Jean-Jacques/G-9785-2015</t>
  </si>
  <si>
    <t>Fayyad-Kazan, Hussein/0000-0002-3465-4630</t>
  </si>
  <si>
    <t>8756-3282</t>
  </si>
  <si>
    <t>10.1016/j.bone.2011.08.013</t>
  </si>
  <si>
    <t>WOS:000297663500014</t>
  </si>
  <si>
    <t>Ognibene, M; De Marco, P; Parodi, S; Meli, M; Di Cataldo, A; Zara, F; Pezzolo, A</t>
  </si>
  <si>
    <t>Ognibene, Marzia; De Marco, Patrizia; Parodi, Stefano; Meli, Mariaclaudia; Di Cataldo, Andrea; Zara, Federico; Pezzolo, Annalisa</t>
  </si>
  <si>
    <t>Genomic Analysis Made It Possible to Identify Gene-Driver Alterations Covering the Time Window between Diagnosis of Neuroblastoma 4S and the Progression to Stage 4</t>
  </si>
  <si>
    <t>Neuroblastoma; stage 4S; tumor progression; array-comparative genomic hybridization; whole-exome sequencing; somatic copy number alterations; single-nucleotide variants</t>
  </si>
  <si>
    <t>THERAPEUTIC TARGET; CLASSIFICATION-SYSTEM; PROGNOSTIC BIOMARKER; CANCER; PATHWAY; BIOLOGY; EXPRESSION; CRITERIA; EXOME</t>
  </si>
  <si>
    <t>Neuroblastoma (NB) is a tumor of the developing sympathetic nervous system. Despite recent advances in understanding the complexity of NB, the mechanisms that determine its regression or progression are still largely unknown. Stage 4S NB is characterized by a favorable course of disease and often by spontaneous regression, while progression to true stage 4 is a very rare event. Here, we focused on genomic analysis of an NB case that progressed from stage 4S to stage 4 with a very poor outcome. Array-comparative genomic hybridization (a-CGH) on tumor-tissue DNA, and whole-exome sequencing (WES) on exosomes DNA derived from plasma collected at the onset and at the tumor progression, pointed out relevant genetic changes that can explain this clinical worsening. The combination of a-CGH and WES data allowed for the identification iof somatic copy number aberrations and single-nucleotide variants in genes known to be responsible for aggressive NB. KLRB1, MAPK3 and FANCA genes, which were lost at the time of progression, were studied for their possible role in this event by analyzing in silico the impact of their expression on the outcome of 786 NB patients.</t>
  </si>
  <si>
    <t>[Ognibene, Marzia; De Marco, Patrizia; Zara, Federico] IRCCS Ist Giannina Gaslini, UOC Genet Med, I-16147 Genoa, Italy; [Parodi, Stefano] IRCCS Ist Giannina Gaslini, Sci Directorate, I-16147 Genoa, Italy; [Meli, Mariaclaudia; Di Cataldo, Andrea] Univ Catania, UOC Ematol &amp; Oncol Pediat, Dipartimento Med Clin &amp; Sperimentale, I-95123 Catania, Italy; [Pezzolo, Annalisa] IRCCS Ist Giannina Gaslini, I-16147 Genoa, Italy</t>
  </si>
  <si>
    <t>University of Genoa; IRCCS Istituto Giannina Gaslini; University of Genoa; IRCCS Istituto Giannina Gaslini; University of Catania; University of Genoa; IRCCS Istituto Giannina Gaslini</t>
  </si>
  <si>
    <t>Ognibene, M (corresponding author), IRCCS Ist Giannina Gaslini, UOC Genet Med, I-16147 Genoa, Italy.</t>
  </si>
  <si>
    <t>marziaognibene@gaslini.org; patriziademarco@gaslini.org; stefanoparodi@gaslini.org; mclaudiameli@gmail.com; adicata@unict.it; federicozara@gaslini.org; annalisapezzolo56@gmail.com</t>
  </si>
  <si>
    <t>Ognibene, Marzia/AAA-7275-2020; Zara, Federico/U-3477-2017; Di Cataldo, Andrea/M-2509-2016</t>
  </si>
  <si>
    <t>Ognibene, Marzia/0000-0003-3698-9319; Zara, Federico/0000-0001-9744-5222; Di Cataldo, Andrea/0000-0002-4509-3066</t>
  </si>
  <si>
    <t>10.3390/ijms23126513</t>
  </si>
  <si>
    <t>WOS:000816210400001</t>
  </si>
  <si>
    <t>Ramirez-Tapia, AL; Baylon-Pacheco, L; Espiritu-Gordillo, P; Rosales-Encina, JL</t>
  </si>
  <si>
    <t>Lilia Ramirez-Tapia, Ana; Baylon-Pacheco, Lidia; Espiritu-Gordillo, Patricia; Luis Rosales-Encina, Jose</t>
  </si>
  <si>
    <t>Characterization of the protein tyrosine phosphatase PRL from Entamoeba histolytica</t>
  </si>
  <si>
    <t>EXPERIMENTAL PARASITOLOGY</t>
  </si>
  <si>
    <t>Entamoeba histolytica; Protein tyrosine phosphatase of regenerating liver; CAAX-box; Extracellular matrix components; Amebic liver abscess</t>
  </si>
  <si>
    <t>ACID-PHOSPHATASE; CELL-GROWTH; IN-VIVO; COLLAGEN; CANCER; METASTASIS; INVASION; IDENTIFICATION; FIBRONECTIN; PRENYLATION</t>
  </si>
  <si>
    <t>Protein tyrosine phosphatase of regenerating liver (PRL) is a group of phosphatases that has not been broadly studied in protozoan parasites. In humans, PRLs are involved in metastatic cancer, the promotion of cell migration and invasion. PTPs have been increasingly recognized as important effectors of host-pathogen interactions. We characterized the only putative protein tyrosine phosphatase PRL (PTP-EhPRL) in the eukaryotic human intestinal parasite Entamoeba histolytica. Here, we reported that the EhPRL protein possessed the classical HCX5R catalytic motif of PTPs and the CAAX box characteristic of the PRL family and exhibited 31-32% homology with the three human PRL isoforms. In amebae, the protein was expressed at low but detectable levels. The recombinant protein (rEhPRL) had enzymatic activity with the 3-o-methyl fluorescein phosphate (OMFP) substrate; this enzymatic activity was inhibited by the PTP inhibitor o-vanadate. Using immunofluorescence we showed that native EhPRL was localized to the cytoplasm and plasma membrane. When the trophozoites interacted with collagen, EhPRL relocalized over time to vesicle-like structures. Interaction with fibronectin increased the presence of the enzyme in the cytoplasm. Using RT-PCR, we demonstrated that EhPRL mRNA expression was upregulated when the trophozoites interacted with collagen but not with fibronectin. Trophozoites recovered from amoebic liver abscesses showed higher EhPRL mRNA expression levels than normal trophozoites. These results strongly suggest that EhPRL may play an important role in the biology and adaptive response of the parasite to the host environment during amoebic liver abscess development, thereby participating in the pathogenic mechanism. (C) 2015 Published by Elsevier Inc.</t>
  </si>
  <si>
    <t>[Lilia Ramirez-Tapia, Ana; Baylon-Pacheco, Lidia; Espiritu-Gordillo, Patricia; Luis Rosales-Encina, Jose] IPN, Ctr Invest &amp; Estudios Avanzados, Dept Infect &amp; Patogenesis Mol, Mexico City 07360, DF, Mexico</t>
  </si>
  <si>
    <t>CINVESTAV - Centro de Investigacion y de Estudios Avanzados del Instituto Politecnico Nacional; Instituto Politecnico Nacional - Mexico</t>
  </si>
  <si>
    <t>Rosales-Encina, JL (corresponding author), IPN, Ctr Invest &amp; Estudios Avanzados, Dept Infect &amp; Patogenesis Mol, Ave Inst Politecn Nacl 2508, Mexico City 07360, DF, Mexico.</t>
  </si>
  <si>
    <t>rosales@cinvestav.mx</t>
  </si>
  <si>
    <t>0014-4894</t>
  </si>
  <si>
    <t>1090-2449</t>
  </si>
  <si>
    <t>10.1016/j.exppara.2015.09.014</t>
  </si>
  <si>
    <t>Parasitology</t>
  </si>
  <si>
    <t>WOS:000366442900022</t>
  </si>
  <si>
    <t>Baker, LA; Lee, KCL; Jimenez, CP; Alibhai, H; Chang, YM; Leckie, PJ; Mookerjee, RP; Davies, NA; Andreola, F; Jalan, R</t>
  </si>
  <si>
    <t>Baker, Luisa A.; Lee, Karla C. L.; Jimenez, Carolina Palacios; Alibhai, Hatim; Chang, Yu-Mei; Leckie, Pamela J.; Mookerjee, Rajeshwar P.; Davies, Nathan A.; Andreola, Fausto; Jalan, Rajiv</t>
  </si>
  <si>
    <t>Circulating microRNAs Reveal Time Course of Organ Injury in a Porcine Model of Acetaminophen-Induced Acute Liver Failure</t>
  </si>
  <si>
    <t>ACUTE KIDNEY INJURY; INDUCED HEPATOTOXICITY; BIOMARKERS; CANCER; EXPRESSION; PROGNOSIS; THERAPY; MARKERS; GENES; MICE</t>
  </si>
  <si>
    <t>Acute liver failure is a rare but catastrophic condition which can progress rapidly to multi-organ failure. Studies investigating the onset of individual organ injury such as the liver, kidneys and brain during the evolution of acute liver failure, are lacking. MicroRNAs are short, non-coding strands of RNA that are released into the circulation following tissue injury. In this study, we have characterised the release of both global microRNA and specific microRNA species into the plasma using a porcine model of acetaminophen-induced acute liver failure. Pigs were induced to acute liver failure with oral acetaminophen over 19h +/- 2h and death occurred 13h +/- 3h thereafter. Global microRNA concentrations increased 4h prior to acute liver failure in plasma (P&lt;0.0001) but not in isolated exosomes, and were associated with increasing plasma levels of the damage-associated molecular pattern molecule, genomic DNA (P&lt;0.0001). MiR122 increased around the time of onset of acute liver failure (P&lt;0.0001) and was associated with increasing international normalised ratio (P&lt;0.0001). MiR192 increased 8h after acute liver failure (P&lt;0.0001) and was associated with increasing creatinine (P&lt;0.0001). The increase in miR124-1 occurred concurrent with the pre-terminal increase in intracranial pressure (P&lt;0.0001) and was associated with decreasing cerebral perfusion pressure (P&lt;0.002).</t>
  </si>
  <si>
    <t>[Baker, Luisa A.; Lee, Karla C. L.; Jimenez, Carolina Palacios; Alibhai, Hatim; Chang, Yu-Mei] Royal Vet Coll, Dept Clin Sci &amp; Serv, Hatfield, Herts, England; [Leckie, Pamela J.; Mookerjee, Rajeshwar P.; Davies, Nathan A.; Andreola, Fausto; Jalan, Rajiv] UCL, Sch Med, Royal Free Hosp, Liver Failure Grp,Inst Liver &amp; Digest Hlth, London W1N 8AA, England</t>
  </si>
  <si>
    <t>University of London; University of London Royal Veterinary College; University of London; University College London; Royal Free London NHS Foundation Trust; UCL Medical School</t>
  </si>
  <si>
    <t>Jalan, R (corresponding author), UCL, Sch Med, Royal Free Hosp, Liver Failure Grp,Inst Liver &amp; Digest Hlth, Mortimer St, London W1N 8AA, England.</t>
  </si>
  <si>
    <t>r.jalan@ucl.ac.uk</t>
  </si>
  <si>
    <t>Andreola, Fausto/L-2972-2018</t>
  </si>
  <si>
    <t>Andreola, Fausto/0000-0003-4926-0121; Mookerjee, Rajeshwar/0000-0002-6275-9384; , Luisa/0000-0002-4526-5868</t>
  </si>
  <si>
    <t>MAY 27</t>
  </si>
  <si>
    <t>e0128076</t>
  </si>
  <si>
    <t>10.1371/journal.pone.0128076</t>
  </si>
  <si>
    <t>WOS:000355185600109</t>
  </si>
  <si>
    <t>WAISMAN, DM</t>
  </si>
  <si>
    <t>ANNEXIN II TETRAMER - STRUCTURE AND FUNCTION</t>
  </si>
  <si>
    <t>MOLECULAR AND CELLULAR BIOCHEMISTRY</t>
  </si>
  <si>
    <t>ANNEXINS; PHOSPHORYLATION; CALCIUM BINDING; PHOSPHOLIPIDS; MEMBRANE BRIDGING; CELL-CELL INTERACTION; DNA POLYMERASE</t>
  </si>
  <si>
    <t>PROTEIN-KINASE-C; ADRENAL CHROMAFFIN CELLS; PRIMER RECOGNITION PROTEINS; ROUS-SARCOMA VIRUS; DNA POLYMERASE-ALPHA; PLACENTAL ANTICOAGULANT PROTEIN; CALCIUM-DEPENDENT EXOCYTOSIS; CA-2+-DEPENDENT PHOSPHOLIPID-BINDING; MATRIX VESICLE PROTEINS; GROWTH PLATE CARTILAGE</t>
  </si>
  <si>
    <t>The annexins are a family of proteins that bind acidic phospholipids in the presence of Ca2+. The interaction of these proteins with biological membranes has led to the suggestion that these proteins may play a role in membrane trafficking events such as exocytosis, endocytosis and cell-cell adhesion. One member of the annexin family, annexin II, has been shown to exist as a monomer, heterodimer or heterotetramer. The ability of annexin II tetramer to bridge secretory granules to plasma membrane has suggested that this protein may play a role in Ca2+-dependent exocytosis. Annexin II tetramer has also been demonstrated on the extracellular face of some metastatic cells where it mediates the binding of certain metastatic cells to normal cells. Annexin II tetramer is a major cellular substrate of protein kinase C and pp60(src). Phosphorylation of annexin II tetramer is a negative modulator of protein function.</t>
  </si>
  <si>
    <t>WAISMAN, DM (corresponding author), UNIV CALGARY, FAC MED, DEPT MED BIOCHEM, CALGARY, AB T2N 4N1, CANADA.</t>
  </si>
  <si>
    <t>Waisman, David/0000-0002-5097-9662</t>
  </si>
  <si>
    <t>0300-8177</t>
  </si>
  <si>
    <t>1573-4919</t>
  </si>
  <si>
    <t>AUG-SEP</t>
  </si>
  <si>
    <t>10.1007/BF01076592</t>
  </si>
  <si>
    <t>WOS:A1995TD09000036</t>
  </si>
  <si>
    <t>Eissa, MAL; Lerner, L; Abdelfatah, E; Shankar, N; Canner, JK; Hasan, NM; Yaghoobi, V; Huang, B; Kerner, Z; Takaesu, F; Wolfgang, C; Kwak, R; Ruiz, M; Tam, M; Pisanic, TR; Iacobuzio-Donahue, CA; Hruban, RH; He, J; Wang, TH; Wood, LD; Sharma, A; Ahuja, N</t>
  </si>
  <si>
    <t>Eissa, Maryam A. L.; Lerner, Lane; Abdelfatah, Eihab; Shankar, Nakul; Canner, Joseph K.; Hasan, Nesrin M.; Yaghoobi, Vesal; Huang, Barry; Kerner, Zachary; Takaesu, Felipe; Wolfgang, Christopher; Kwak, Ruby; Ruiz, Michael; Tam, Matthew; Pisanic, Thomas R.; Iacobuzio-Donahue, Christine A.; Hruban, Ralph H.; He, Jin; Wang, Tza-Huei; Wood, Laura D.; Sharma, Anup; Ahuja, Nita</t>
  </si>
  <si>
    <t>Promoter methylation of ADAMTS1 and BNC1 as potential biomarkers for early detection of pancreatic cancer in blood</t>
  </si>
  <si>
    <t>CLINICAL EPIGENETICS</t>
  </si>
  <si>
    <t>Cell-free DNA; MOB; ADAMTS1; BNC1; Methylation; Biomarker; Pancreatic cancer</t>
  </si>
  <si>
    <t>PAPILLARY MUCINOUS NEOPLASMS; DNA METHYLATION; CIRCULATING DNA; RISK-FACTORS; EPIDEMIOLOGY; PLASMA; HYPERMETHYLATION; SURVIVAL; SERUM; EXOSOMES</t>
  </si>
  <si>
    <t>BackgroundDespite improvements in cancer management, most pancreatic cancers are still diagnosed at an advanced stage. We have recently identified promoter DNA methylation of the genes ADAMTS1 and BNC1 as potential blood biomarkers of pancreas cancer. In this study, we validate this biomarker panel in peripheral cell-free tumor DNA of patients with pancreatic cancer.ResultsSensitivity and specificity for each gene are as follows: ADAMTS1 87.2% and 95.8% (AUC=0.91; 95% CI 0.71-0.86) and BNC1 64.1% and 93.7% (AUC=0.79; 95% CI 0.63-0.78). When using methylation of either gene as a combination panel, sensitivity increases to 97.3% and specificity to 91.6% (AUC=0.95; 95% CI 0.77-0.90). Adding pre-operative CA 19-9 values to the combined two-gene methylation panel did not improve sensitivity. Methylation of ADAMTS1 was found to be positive in 87.5% (7/8) of stage I, 77.8% (7/9) of stage IIA, and 90% (18/20) of stage IIB disease. Similarly, BNC1 was positive in 62.5% (5/8) of stage I patients, 55.6% (5/9) of stage IIA, and 65% (13/20) of patients with stage IIB disease. The two-gene panel (ADAMTS1 and/or BNC1) was positive in 100% (8/8) of stage I, 88.9% (8/9) of stage IIA, and 100% (20/20) of stage IIB disease. The sensitivity and specificity of the two-gene panel for localized pancreatic cancer (stages I and II), where the cancer is eligible for surgical resection with curative potential, was 94.8% and 91.6% respectively. Additionally, the two-gene panel exhibited an AUC of 0.95 (95% CI 0.90-0.98) compared to 57.1% for CA 19-9 alone.ConclusionThe methylation status of ADAMTS1 and BNC1 in cfDNA shows promise for detecting pancreatic cancer during the early stages when curative resection of the tumor is still possible. This minimally invasive blood-based biomarker panel could be used as a promising tool for diagnosis and screening in a select subset of high-risk populations.</t>
  </si>
  <si>
    <t>[Eissa, Maryam A. L.; Lerner, Lane; Abdelfatah, Eihab; Shankar, Nakul; Canner, Joseph K.; Hasan, Nesrin M.; Yaghoobi, Vesal; Huang, Barry; Kerner, Zachary; Takaesu, Felipe; Wolfgang, Christopher; Kwak, Ruby; Ruiz, Michael; Tam, Matthew; He, Jin; Sharma, Anup; Ahuja, Nita] Johns Hopkins Univ, Sch Med, Dept Surg, Baltimore, MD 21205 USA; [Hruban, Ralph H.; Wood, Laura D.; Ahuja, Nita] Johns Hopkins Univ, Sch Med, Dept Oncol, Sidney Kimmel Comprehens Canc Ctr, Baltimore, MD 21205 USA; [Pisanic, Thomas R.; Wang, Tza-Huei] Johns Hopkins Univ, Johns Hopkins Inst NanoBioTechnol, Baltimore, MD USA; [Iacobuzio-Donahue, Christine A.] Mem Sloan Kettering Canc Ctr, Dept Pathol, 1275 York Ave, New York, NY 10021 USA; [Iacobuzio-Donahue, Christine A.; Hruban, Ralph H.; Wood, Laura D.] Johns Hopkins Univ, Sch Med, Dept Pathol, Baltimore, MD 21205 USA; [Hruban, Ralph H.; Wood, Laura D.; Ahuja, Nita] Johns Hopkins Univ Hosp, Sidney Kimmel Comprehens Canc Ctr, Sol Goldman Pancreat Canc Res Ctr, Baltimore, MD 21287 USA; [Sharma, Anup; Ahuja, Nita] Yale Univ, Sch Med, Yale New Haven Hlth, Dept Surg, POB 208062, New Haven, CT 06520 USA</t>
  </si>
  <si>
    <t>Johns Hopkins University; Johns Hopkins University; Johns Hopkins Medicine; Johns Hopkins University; Memorial Sloan Kettering Cancer Center; Johns Hopkins University; Johns Hopkins University; Johns Hopkins Medicine; Yale University</t>
  </si>
  <si>
    <t>Ahuja, N (corresponding author), Johns Hopkins Univ, Sch Med, Dept Surg, Baltimore, MD 21205 USA.;Ahuja, N (corresponding author), Johns Hopkins Univ, Sch Med, Dept Oncol, Sidney Kimmel Comprehens Canc Ctr, Baltimore, MD 21205 USA.</t>
  </si>
  <si>
    <t>nita.ahuja@yale.edu</t>
  </si>
  <si>
    <t>Wood, Laura/ABF-1531-2020; Iacobuzio-Donahue, Christine/ABF-1295-2020; Pisanic, Thomas R/E-5793-2015</t>
  </si>
  <si>
    <t>Iacobuzio-Donahue, Christine/0000-0002-4672-3023; Pisanic, Thomas R/0000-0001-5796-0836; Takaesu, Felipe/0000-0002-5569-8907; Kerner, Zachary/0000-0002-5623-0089</t>
  </si>
  <si>
    <t>1868-7075</t>
  </si>
  <si>
    <t>1868-7083</t>
  </si>
  <si>
    <t>APR 5</t>
  </si>
  <si>
    <t>10.1186/s13148-019-0650-0</t>
  </si>
  <si>
    <t>WOS:000463786100001</t>
  </si>
  <si>
    <t>Rajaganapathy, BR; Chancellor, MB; Nirmal, J; Dang, L; Tyagi, P</t>
  </si>
  <si>
    <t>Rajaganapathy, Bharathi Raja; Chancellor, Michael B.; Nirmal, Jayabalan; Dang, Loan; Tyagi, Pradeep</t>
  </si>
  <si>
    <t>Bladder Uptake of Liposomes after Intravesical Administration Occurs by Endocytosis</t>
  </si>
  <si>
    <t>DIMETHYL-SULFOXIDE; DNA RELEASE; CYSTITIS; CHOLESTEROL; THERAPY; CELLS</t>
  </si>
  <si>
    <t>Liposomes have been used therapeutically and as a local drug delivery system in the bladder. However, the exact mechanism for the uptake of liposomes by bladder cells is unclear. In the present study, we investigated the role of endocytosis in the uptake of liposomes by cultured human UROtsa cells of urothelium and rat bladder. UROtsa cells were incubated in serum-free media with liposomes containing colloidal gold particles for 2 h either at 37 degrees C or at 4 degrees C. Transmission Electron Microscopy (TEM) images of cells incubated at 37 degrees C found endocytic vesicles containing gold inside the cells. In contrast, only extracellular binding was noticed in cells incubated with liposomes at 4 degrees C. Absence of liposome internalization at 4 degrees C indicates the need of energy dependent endocytosis as the primary mechanism of entry of liposomes into the urothelium. Flow cytometry analysis revealed that the uptake of liposomes at 37 degrees C occurs via clathrin mediated endocytosis. Based on these observations, we propose that clathrin mediated endocytosis is the main route of entry for liposomes into the urothelial layer of the bladder and the findings here support the usefulness of liposomes in intravesical drug delivery.</t>
  </si>
  <si>
    <t>[Rajaganapathy, Bharathi Raja; Chancellor, Michael B.; Nirmal, Jayabalan] Oakland Univ, William Beaumont Sch Med, William Beaumont Hosp Res Inst, Dept Urol, Royal Oak, MI 48067 USA; [Tyagi, Pradeep] Univ Pittsburgh, Dept Urol, Pittsburgh, PA USA; [Dang, Loan] Oakland Univ, Eye Res Inst, Rochester, MI 48063 USA</t>
  </si>
  <si>
    <t>Oakland University; Pennsylvania Commonwealth System of Higher Education (PCSHE); University of Pittsburgh; Oakland University</t>
  </si>
  <si>
    <t>Chancellor, MB (corresponding author), Oakland Univ, William Beaumont Sch Med, William Beaumont Hosp Res Inst, Dept Urol, Royal Oak, MI 48067 USA.</t>
  </si>
  <si>
    <t>chancellormb@gmail.com</t>
  </si>
  <si>
    <t>J, Nirmal/AAO-5138-2020</t>
  </si>
  <si>
    <t>J, Nirmal/0000-0001-7864-6053</t>
  </si>
  <si>
    <t>MAR 26</t>
  </si>
  <si>
    <t>e0122766</t>
  </si>
  <si>
    <t>10.1371/journal.pone.0122766</t>
  </si>
  <si>
    <t>WOS:000356353700200</t>
  </si>
  <si>
    <t>Wade, CE; Matijevic, N; Wang, YWW; Rodriguez, EG; Lopez, E; Ostrowski, SR; Cardenas, JC; Baer, LA; Chen, TA; Tomasek, JS; Henriksen, HH; Stensballe, J; Cotton, BA; Holcomb, JB; Johansson, PI</t>
  </si>
  <si>
    <t>Wade, Charles E.; Matijevic, Nena; Wang, Yao-Wei W.; Rodriguez, Erika G.; Lopez, Ernesto; Ostrowski, Sisse R.; Cardenas, Jessica C.; Baer, Lisa A.; Chen, Tzu-An; Tomasek, Jeffrey S.; Henriksen, Hanne H.; Stensballe, Jakob; Cotton, Bryan A.; Holcomb, John B.; Johansson, Par I.</t>
  </si>
  <si>
    <t>ABSENCES OF ENDOTHELIAL MICROVESICLE CHANGES IN THE PRESENCE OF THE ENDOTHELIOPATHY OF TRAUMA</t>
  </si>
  <si>
    <t>SHOCK</t>
  </si>
  <si>
    <t>Catecholamine; coagulation; endothelium; E-selectin; hemorrhage; histone; Syndecan-1; thrombomodulin; VE-cadherin</t>
  </si>
  <si>
    <t>SYMPATHOADRENAL ACTIVATION; GLYCOCALYX; DAMAGE; COAGULOPATHY; MICROPARTICLES; DYSFUNCTION; FLUID; RESUSCITATION; PROTECTION; SYNDECAN-1</t>
  </si>
  <si>
    <t>Introduction: Severe trauma is accompanied by endothelial glycocalyx disruption, which drives coagulopathy, increasing transfusion requirements and death. This syndrome has been termed endotheliopathy of trauma (EOT). Some have suggested EOT results from endothelial cellular damage and apoptosis. Endothelial microvesicles (EMVs) represent cellular damage. We hypothesized that EOT is associated with endothelial damage and apoptosis resulting in an increase in circulating EMVs. Methods: Prospective, observational study enrolling severely injured patients. Twelve patients with EOT, based on elevated Syndecan-1 levels, were matched with 12 patients with lower levels, based on Injury Severity Score (ISS), abbreviated injury scale profile, and age. Thrombelastography and plasma levels of biomarkers indicative of cellular damage were measured from blood samples collected on admission. EMVs were determined by flow cytometry using varied monoclonal antibodies associated with endothelial cells. Significance was set at P&lt; 0.05. Results: Admission physiology and ISS (29 vs. 28) were similar between groups. Patients with EOT had higher Syndecan-1, 230 (158, 293) vs. 19 (14, 25) ng/mL, epinephrine, and soluble thrombomodulin levels. Based on thrombelastography, EOT had reductions in clot initiation, amplification, propagation and strength, and a greater frequency of transfusion, 92% vs. 33%. There were no differences in EMVs irrespective of the antibody used. Plasma norepinephrine, sEselectin, sVE-cadherin, and histone-complexed DNA fragments levels were similar. Conclusion: In trauma patients presenting with EOT, endothelial cellular damage or apoptosis does not seem to occur based on the absence of an increase in EMVs and other biomarkers. Thus, this suggests endothelial glycocalyx disruption is the underlying primary cause of EOT.</t>
  </si>
  <si>
    <t>[Wade, Charles E.; Matijevic, Nena; Wang, Yao-Wei W.; Rodriguez, Erika G.; Lopez, Ernesto; Cardenas, Jessica C.; Baer, Lisa A.; Chen, Tzu-An; Tomasek, Jeffrey S.; Henriksen, Hanne H.; Cotton, Bryan A.; Holcomb, John B.; Johansson, Par I.] Univ Texas Hlth Sci Ctr Houston, UT Hlth, Dept Surg, Ctr Translat Injury Res CeTIR, Houston, TX 77030 USA; [Ostrowski, Sisse R.; Henriksen, Hanne H.; Stensballe, Jakob; Johansson, Par I.] Copenhagen Univ Hosp, Rigshosp, Capital Reg Blood Bank, Sect Transfus Med, Copenhagen, Denmark; [Holcomb, John B.] Copenhagen Univ Hosp, Rigshosp, Ctr Head &amp; Orthoped, Dept Anesthesia, Copenhagen, Denmark</t>
  </si>
  <si>
    <t>University of Texas System; University of Texas Health Science Center Houston; Rigshospitalet; University of Copenhagen; Rigshospitalet; University of Copenhagen</t>
  </si>
  <si>
    <t>Lopez, E (corresponding author), Univ Texas Hlth Sci Ctr Houston, Ctr Translat Injury Res CeTIR, 6431 Fannin,MSB 5-204, Houston, TX 77030 USA.</t>
  </si>
  <si>
    <t>jose.e.lopezvalen-cia@uth.tmc.edu</t>
  </si>
  <si>
    <t>Ostrowski, Sisse R/E-7423-2011; Lopez, Ernesto/AAH-7954-2019; Lopez, Ernesto/Q-5903-2016</t>
  </si>
  <si>
    <t>Ostrowski, Sisse R/0000-0001-5288-3851; Lopez, Ernesto/0000-0003-3211-0098; Lopez, Ernesto/0000-0003-3211-0098; Hee Henriksen, Hanne/0000-0003-1323-9718; holcomb, john/0000-0001-8312-9157; Johansson, Par Ingemar/0000-0001-9778-5964</t>
  </si>
  <si>
    <t>1073-2322</t>
  </si>
  <si>
    <t>1540-0514</t>
  </si>
  <si>
    <t>10.1097/SHK.0000000000001149</t>
  </si>
  <si>
    <t>Critical Care Medicine; Hematology; Surgery; Peripheral Vascular Disease</t>
  </si>
  <si>
    <t>General &amp; Internal Medicine; Hematology; Surgery; Cardiovascular System &amp; Cardiology</t>
  </si>
  <si>
    <t>WOS:000462688400007</t>
  </si>
  <si>
    <t>Santuccione, AC; Merlini, M; Shetty, A; Tackenberg, C; Bali, J; Ferretti, MT; McAfoose, J; Kulic, L; Bernreuther, C; Welt, T; Grimm, J; Glatzel, M; Rajendran, L; Hock, C; Nitsch, RM</t>
  </si>
  <si>
    <t>Santuccione, A. C.; Merlini, M.; Shetty, A.; Tackenberg, C.; Bali, J.; Ferretti, M. T.; McAfoose, J.; Kulic, L.; Bernreuther, C.; Welt, T.; Grimm, J.; Glatzel, M.; Rajendran, L.; Hock, C.; Nitsch, R. M.</t>
  </si>
  <si>
    <t>Active vaccination with ankyrin G reduces beta-amyloid pathology in APP transgenic mice</t>
  </si>
  <si>
    <t>MOLECULAR PSYCHIATRY</t>
  </si>
  <si>
    <t>Alzheimer's disease; ankyrin G; exosomes; immune system; neurodegeneration</t>
  </si>
  <si>
    <t>ONSET ALZHEIMERS-DISEASE; AXON INITIAL SEGMENTS; A-BETA; ASSOCIATION ANALYSIS; BRAIN; AUTOANTIBODIES; IDENTIFICATION; CHROMOSOME-10; ANTIBODY; PROTEIN</t>
  </si>
  <si>
    <t>Serum antibodies against amyloid-beta peptide (A beta) in humans with or without diagnosis of Alzheimer's disease (AD) indicate the possibility of immune responses against brain antigens. In an unbiased screening for antibodies directed against brain proteins, we found in AD patients high serum levels of antibodies against the neuronal cytoskeletal protein ankyrin G (ankG); these correlated with slower rates of cognitive decline. Neuronal expression of ankG was higher in AD brains than in nondemented age-matched healthy control subjects. AnkG was present in exosomal vesicles, and it accumulated in beta-amyloid plaques. Active immunization with ankG of arcA beta transgenic mice reduced brain beta-amyloid pathology and increased brain levels of soluble A beta(42). AnkG immunization induced a reduction in beta-amyloid pathology, also in Swedish transgenic mice. Anti-ankG monoclonal antibodies reduced A beta-induced loss of dendritic spines in hippocampal ArcA beta organotypic cultures. Together, these data established a role for ankG in the human adaptive immune response against resident brain proteins, and they show that ankG immunization reduces brain beta-amyloid and its related neuropathology. Molecular Psychiatry (2013) 18, 358-368; doi:10.1038/mp.2012.70; published online 12 June 2012</t>
  </si>
  <si>
    <t>[Santuccione, A. C.; Merlini, M.; Shetty, A.; Tackenberg, C.; Ferretti, M. T.; McAfoose, J.; Kulic, L.; Welt, T.; Grimm, J.; Hock, C.; Nitsch, R. M.] Univ Zurich, Div Psychiat Res, CH-8001 Zurich, Switzerland; [Bali, J.; Rajendran, L.] Univ Zurich, CH-8001 Zurich, Switzerland; [Bernreuther, C.; Glatzel, M.] Univ Med Ctr Hamburg Eppendorf, Inst Neuropathol, Hamburg, Germany</t>
  </si>
  <si>
    <t>University of Zurich; University of Zurich; University of Hamburg; University Medical Center Hamburg-Eppendorf</t>
  </si>
  <si>
    <t>Santuccione, AC (corresponding author), Univ Zurich, Div Psychiat Res, August Forel Str 1, CH-8001 Zurich, Switzerland.</t>
  </si>
  <si>
    <t>antonella.santuccione@bli.uzh.ch; nitsch@bli.uzh.ch</t>
  </si>
  <si>
    <t>Ferretti, Maria Teresa/GLR-0567-2022; Glatzel, Markus/V-8844-2019; Glatzel, Markus/G-3356-2011; Tackenberg, Christian/AHE-1886-2022; Tackenberg, Christian/AGZ-3801-2022; Merlini, Mario/AAJ-1542-2021</t>
  </si>
  <si>
    <t>Glatzel, Markus/0000-0002-7720-8817; Glatzel, Markus/0000-0002-7720-8817; Tackenberg, Christian/0000-0002-0019-3055; Tackenberg, Christian/0000-0002-0019-3055; Santuccione Chadha, Antonella/0000-0002-4021-3129; Rajendran, Lawrence/0000-0002-6390-1821; Merlini, Mario/0000-0003-4145-3025; Welt, Tobias/0000-0002-4793-9061</t>
  </si>
  <si>
    <t>1359-4184</t>
  </si>
  <si>
    <t>1476-5578</t>
  </si>
  <si>
    <t>10.1038/mp.2012.70</t>
  </si>
  <si>
    <t>Biochemistry &amp; Molecular Biology; Neurosciences; Psychiatry</t>
  </si>
  <si>
    <t>Biochemistry &amp; Molecular Biology; Neurosciences &amp; Neurology; Psychiatry</t>
  </si>
  <si>
    <t>WOS:000316568100013</t>
  </si>
  <si>
    <t>An, Y; Li, R; Zhang, F; He, PG</t>
  </si>
  <si>
    <t>An, Yu; Li, Rui; Zhang, Fan; He, Pingang</t>
  </si>
  <si>
    <t>A ratiometric electrochemical sensor for the determination of exosomal glycoproteins</t>
  </si>
  <si>
    <t>Exosomal glycoproteins; MPBA; FcNHSSNH2; SiO2@Ag; Ratiometric electrochemical sensor</t>
  </si>
  <si>
    <t>SIGNAL AMPLIFICATION; ASSAY</t>
  </si>
  <si>
    <t>Abnormal glycosylation of exosomal proteins is related to many diseases. However, there is still a lack of convenient and easy methods for the determination of exosomal glycoproteins. In this work, a ratiometric electrochemical sensor based on the recognition of glycoproteins by boronic acid and core-shell nanoparticles of silica-silver (SiO2@Ag) amplified signals was developed for the highly sensitive detection of exosomal glycoproteins. The CD63 aptamer-SiO2-N-(2-((2-aminoethyl)disulfanyl)ethyl) ferrocene carboxamide (FcNHSSNH2) probe was first connected to graphene oxide-cucurbit [7] (GO-CB [7]) modified GCE through host-guest recognition. The CD63 aptamer was employed for the specific capture of exosomes, and the FcNHSSNH2 molecule was used as the internal reference signal of the sensor. The mercaptophenylboronic acid (MPBA) of MPBA-SiO2@Ag probe was used for the identification of exosomes surface glycoproteins. SiO2 nanoparticle has a large specific surface area, which can load a large amount of silver nanoparticles (AgNPs) for electrochemical signal amplification. The results were expressed as the current ratio of AgNPs and FcNHSSNH2. The introduction of the internal reference molecule FcNHSSNH2 could effectively reduce the measurement error caused by the different DNA density of the substrate, and further improve the sensitivity and accuracy of the detection. Under the optimal experimental conditions, this sensor allowed the sensitive detection of exosomal glycoproteins in the range of 4.2 x 102 to 4.2 x 108 particles/mu L with a limit of detection (LOD) of 368 particles/mu L. Furthermore, the ratiometric electrochemical sensor could be employed for the detection of exosomal glycoproteins in human serum samples, which has a good clinical application prospect.</t>
  </si>
  <si>
    <t>[An, Yu; Li, Rui; Zhang, Fan; He, Pingang] East China Normal Univ, Sch Chem &amp; Mol Engn, 500 Dongchuan Rd, Shanghai 200241, Peoples R China</t>
  </si>
  <si>
    <t>10.1016/j.talanta.2021.122790</t>
  </si>
  <si>
    <t>WOS:000701202700006</t>
  </si>
  <si>
    <t>Barnabas, GD; Bahar-Shany, K; Sapoznik, S; Helpman, L; Kadan, Y; Beiner, M; Weitzner, O; Arbib, N; Korach, J; Perri, T; Katz, G; Blecher, A; Brandt, B; Friedman, E; Stockheim, D; Jakobson-Setton, A; Eitan, R; Armon, S; Brand, H; Zadok, O; Aviel-Ronen, S; Harel, M; Geiger, T; Levanon, K</t>
  </si>
  <si>
    <t>Barnabas, Georgina D.; Bahar-Shany, Keren; Sapoznik, Stav; Helpman, Limor; Kadan, Yfat; Beiner, Mario; Weitzner, Omer; Arbib, Nissim; Korach, Jacob; Perri, Tamar; Katz, Guy; Blecher, Anna; Brandt, Benny; Friedman, Eitan; Stockheim, David; Jakobson-Setton, Ariella; Eitan, Ram; Armon, Shunit; Brand, Hadar; Zadok, Oranit; Aviel-Ronen, Sarit; Harel, Michal; Geiger, Tamar; Levanon, Keren</t>
  </si>
  <si>
    <t>Microvesicle Proteomic Profiling of Uterine Liquid Biopsy for Ovarian Cancer Early Detection</t>
  </si>
  <si>
    <t>MOLECULAR &amp; CELLULAR PROTEOMICS</t>
  </si>
  <si>
    <t>EXTRACELLULAR VESICLES; BREAST-CANCER; RISK; MORTALITY; CA125; HE-4</t>
  </si>
  <si>
    <t>High-grade ovarian cancer (HGOC) is the leading cause of mortality from gynecological malignancies, because of diagnosis at a metastatic stage. Current screening options fail to improve mortality because of the absence of earlystage-specific biomarkers. We postulated that a liquid biopsy, such as utero-tubal lavage (UtL), may identify localized lesions better than systemic approaches of serum/plasma analysis. Further, while mutation-based assays are challenged by the rarity of tumor DNA within nonmutated DNA, analyzing the proteomic profile, is expected to enable earlier detection, as it reveals perturbations in both the tumor as well as in its microenvironment. To attain deep proteomic coverage and overcome the high dynamic range of this body fluid, we applied our method for microvesicle proteomics to the UtL samples. Liquid biopsies from HGOC patients (n = 49) and controls (n = 127) were divided into a discovery and validation sets. Data-dependent analysis of the samples on the Q-Exactive mass spectrometer provided depth of 8578 UtL proteins in total, and on average similar to 3000 proteins per sample. We used support vector machine algorithms for sample classification, and crossed three feature-selection algorithms, to construct and validate a 9-protein classifier with 70% sensitivity and 76.2% specificity. The signature correctly identified all Stage I lesions. These results demonstrate the potential power of microvesicle- based proteomic biomarkers for early cancer diagnosis. Molecular &amp; Cellular Proteomics 18: 865875, 2019. DOI: 10.1074/ mcp. RA119.001362.</t>
  </si>
  <si>
    <t>[Barnabas, Georgina D.; Harel, Michal; Geiger, Tamar] Tel Aviv Univ, Dept Human Mol Genet &amp; Biochem, Sackler Fac Med, Ramat Aviv, Israel; [Bahar-Shany, Keren; Sapoznik, Stav; Brand, Hadar; Levanon, Keren] Chaim Sheba Med Ctr, Sheba Canc Res Ctr, Ramat Gan, Israel; [Helpman, Limor; Kadan, Yfat; Beiner, Mario] Meir Med Ctr, Div Gynecol Oncol, Kefar Sava, Israel; [Helpman, Limor; Korach, Jacob; Perri, Tamar; Friedman, Eitan; Stockheim, David; Jakobson-Setton, Ariella; Eitan, Ram; Brand, Hadar; Levanon, Keren] Tel Aviv Univ, Sackler Fac Med, Ramat Aviv, Israel; [Weitzner, Omer; Arbib, Nissim] Meir Med Ctr, Dept Obstet &amp; Gynecol, Kefar Sava, Israel; [Korach, Jacob; Perri, Tamar; Katz, Guy; Blecher, Anna; Brandt, Benny] Chaim Sheba Med Ctr, Dept Gynecol Oncol, Ramat Gan, Israel; [Friedman, Eitan] Chaim Sheba Med Ctr, Susanne Levy Gertner Oncogenet Unit, Ramat Gan, Israel; [Stockheim, David] Chaim Sheba Med Ctr, Dept Gynecol, Ramat Gan, Israel; [Jakobson-Setton, Ariella; Eitan, Ram] Rabin Med Ctr, Dept Gynecol Oncol, Petah Tiqwa, Israel; [Armon, Shunit] Shaare Zedek Med Ctr, Dept Obstet &amp; Gynecol, Jerusalem, Israel; [Zadok, Oranit; Aviel-Ronen, Sarit] Chaim Sheba Med Ctr, Dept Pathol, Ramat Gan, Israel; [Aviel-Ronen, Sarit; Levanon, Keren] Chaim Sheba Med Ctr, Talpiot Med Leadership Program, Ramat Gan, Israel; [Helpman, Limor] McMaster Univ, Gynecol Oncol Div, Juravinski Canc Ctr, Hamilton, ON, Canada</t>
  </si>
  <si>
    <t>Tel Aviv University; Sackler Faculty of Medicine; Chaim Sheba Medical Center; Tel Aviv University; Sackler Faculty of Medicine; Tel Aviv University; Sackler Faculty of Medicine; Tel Aviv University; Sackler Faculty of Medicine; Chaim Sheba Medical Center; Chaim Sheba Medical Center; Chaim Sheba Medical Center; Rabin Medical Center; Hebrew University of Jerusalem; Shaare Zedek Medical Center; Chaim Sheba Medical Center; Chaim Sheba Medical Center; McMaster University</t>
  </si>
  <si>
    <t>Geiger, T (corresponding author), Tel Aviv Univ, Dept Human Mol Genet &amp; Biochem, Sackler Fac Med, Ramat Aviv, Israel.;Levanon, K (corresponding author), Chaim Sheba Med Ctr, Sheba Canc Res Ctr, Ramat Gan, Israel.;Levanon, K (corresponding author), Tel Aviv Univ, Sackler Fac Med, Ramat Aviv, Israel.;Levanon, K (corresponding author), Chaim Sheba Med Ctr, Talpiot Med Leadership Program, Ramat Gan, Israel.</t>
  </si>
  <si>
    <t>geiger@tauex.tau.ac.il; Keren.Levanon@sheba.health.gov.il</t>
  </si>
  <si>
    <t>Perri, Tamar/ABB-5896-2020</t>
  </si>
  <si>
    <t>Perri, Tamar/0000-0002-4042-6554; Geiger, Tamar/0000-0002-9526-197X; Helpman, Limor/0000-0002-3044-7247</t>
  </si>
  <si>
    <t>1535-9484</t>
  </si>
  <si>
    <t>10.1074/mcp.RA119.001362</t>
  </si>
  <si>
    <t>WOS:000467185700004</t>
  </si>
  <si>
    <t>Weiss, AN; Anantharam, A; Bittner, MA; Axelrod, D; Holz, RW</t>
  </si>
  <si>
    <t>Weiss, Annita Ngatchou; Anantharam, Arun; Bittner, Mary A.; Axelrod, Daniel; Holz, Ronald W.</t>
  </si>
  <si>
    <t>Lumenal Protein within Secretory Granules Affects Fusion Pore Expansion</t>
  </si>
  <si>
    <t>BIOPHYSICAL JOURNAL</t>
  </si>
  <si>
    <t>TISSUE-PLASMINOGEN-ACTIVATOR; ADRENAL CHROMAFFIN CELLS; NEUROENDOCRINE CELLS; FLUORESCENT PROTEIN; EXOCYTOTIC EVENTS; PLASMA-MEMBRANE; CHROMOGRANIN-A; VESICLE FUSION; RELEASE; RECAPTURE</t>
  </si>
  <si>
    <t>It is often assumed that upon fusion of the secretory granule membrane with the plasma membrane, lunnenal contents are rapidly discharged and dispersed into the extracellular medium. Although this is the case for low-molecular-weight neurotransmitters and some proteins, there are numerous examples of the dispersal of a protein being delayed for many seconds after fusion. We have investigated the role of fusion-pore expansion in determining the contrasting discharge rates of fluorescent-tagged neuropeptide-Y (NPY) (within 200 ms) and tissue plasminogen activator (tPA) (over many seconds) in adrenal chromaffin cells. The endogenous proteins are expressed in separate chromaffin cell subpopulations. Fusion pore expansion was measured by two independent methods, orientation of a fluorescent probe within the plasma membrane using polarized total internal reflection fluorescence microscopy and amperometry of released catecholamine. Together, they probe the continuum of the fusion-pore duration, from milliseconds to many seconds after fusion. Polarized total internal reflection fluorescence microscopy revealed that 71% of the fusion events of tPA-cer-containing granules maintained curvature for &gt;10 s, with approximately half of the structures likely connected to the plasma membrane by a short narrow neck. Such events were not commonly observed upon fusion of NPY-cer-containing granules. Amperometry revealed that the expression of tPA-green fluorescent protein (GFP) prolonged the duration of the prespike foot similar to 2.5-fold compared to NPY-GFP-expressing cells and nontransfected cells, indicating that expansion of the initial fusion pore in tPA granules was delayed. The t(1/2) of the main catecholamine spike was also increased, consistent with a prolonged delay of fusion-pore expansion. tPA added extra-cellularly bound to the lumenal surface of fused granules. We propose that tPA within the granule lumen controls its own discharge. Its intrinsic biochemistry determines not only its extracellular action but also the characteristics of its presentation to the extracellular milieu.</t>
  </si>
  <si>
    <t>[Weiss, Annita Ngatchou; Bittner, Mary A.; Axelrod, Daniel; Holz, Ronald W.] Univ Michigan, Sch Med, Dept Pharmacol, Ann Arbor, MI 48109 USA; [Anantharam, Arun] Wayne State Univ, Dept Biol Sci, Detroit, MI 48202 USA; [Axelrod, Daniel] Univ Michigan, Dept Phys, Ann Arbor, MI 48109 USA; [Axelrod, Daniel] Univ Michigan, LSA Biophys, Ann Arbor, MI 48109 USA</t>
  </si>
  <si>
    <t>University of Michigan System; University of Michigan; Wayne State University; University of Michigan System; University of Michigan; University of Michigan System; University of Michigan</t>
  </si>
  <si>
    <t>Weiss, AN (corresponding author), Univ Michigan, Sch Med, Dept Pharmacol, Ann Arbor, MI 48109 USA.</t>
  </si>
  <si>
    <t>annweiss@umich.edu; holz@umich.edu</t>
  </si>
  <si>
    <t>0006-3495</t>
  </si>
  <si>
    <t>1542-0086</t>
  </si>
  <si>
    <t>10.1016/j.bpj.2014.04.064</t>
  </si>
  <si>
    <t>Biophysics</t>
  </si>
  <si>
    <t>WOS:000338411600007</t>
  </si>
  <si>
    <t>Olea-Flores, M; Kan, JL; Carlson, A; Syed, SA; McCann, C; Mondal, V; Szady, C; Ricker, HM; McQueen, A; Navea, JG; Caromile, LA; Padilla-Benavides, T</t>
  </si>
  <si>
    <t>Olea-Flores, Monserrat; Kan, Julia; Carlson, Alyssa; Syed, Sabriya A.; McCann, Cat; Mondal, Varsha; Szady, Cecily; Ricker, Heather M.; McQueen, Amy; Navea, Juan G.; Caromile, Leslie A.; Padilla-Benavides, Teresita</t>
  </si>
  <si>
    <t>ZIP11 Regulates Nuclear Zinc Homeostasis in HeLa Cells and Is Required for Proliferation and Establishment of the Carcinogenic Phenotype</t>
  </si>
  <si>
    <t>ZIP11; zinc transport; cell cycle; senescence; gene expression; MTF1; cervical cancer cells</t>
  </si>
  <si>
    <t>DNA-DAMAGE RESPONSE; TRANSPORTER GENES; DIETARY ZINC; MITOCHONDRIAL DYSFUNCTION; LIV-1 SUBFAMILY; MAMMALIAN ZINC; IRON UPTAKE; EXPRESSION; PROTEIN; ZN2+</t>
  </si>
  <si>
    <t>Zinc (Zn) is an essential trace element that plays a key role in several biological processes, including transcription, signaling, and catalysis. A subcellular network of transporters ensures adequate distribution of Zn to facilitate homeostasis. Among these are a family of importers, the Zrt/Irt-like proteins (ZIP), which consists of 14 members (ZIP1-ZIP14) that mobilize Zn from the extracellular domain and organelles into the cytosol. Expression of these transporters varies among tissues and during developmental stages, and their distribution at various cellular locations is essential for defining the net cellular Zn transport. Normally, the ion is bound to proteins or sequestered in organelles and vesicles. However, though research has focused on Zn internalization in mammalian cells, little is known about Zn mobilization within organelles, including within the nuclei under both normal and pathological conditions. Analyses from stomach and colon tissues isolated from mouse suggested that ZIP11 is the only ZIP transporter localized to the nucleus of mammalian cells, yet no clear cellular role has been attributed to this protein. We hypothesized that ZIP11 is essential to maintaining nuclear Zn homeostasis in mammalian cells. To test this, we utilized HeLa cells, as research in humans correlated elevated expression of ZIP11 with poor prognosis in cervical cancer patients. We stably knocked down ZIP11 in HeLa cancer cells and investigated the effect of Zn dysregulation in vitro. Our data show that ZIP11 knockdown (KD) reduced HeLa cells proliferation due to nuclear accumulation of Zn. RNA-seq analyses revealed that genes related to angiogenesis, apoptosis, mRNA metabolism, and signaling pathways are dysregulated. Although the KD cells undergoing nuclear Zn stress can activate the homeostasis response by MTF1 and MT1, the RNA-seq analyses showed that only ZIP14 (an importer expressed on the plasma membrane and endocytic vesicles) is mildly induced, which may explain the sensitivity to elevated levels of extracellular Zn. Consequently, ZIP11 KD HeLa cells have impaired migration, invasive properties and decreased mitochondrial potential. Furthermore, KD of ZIP11 delayed cell cycle progression and rendered an enhanced senescent state in HeLa cells, pointing to a novel mechanism whereby maintenance of nuclear Zn homeostasis is essential for cancer progression.</t>
  </si>
  <si>
    <t>[Olea-Flores, Monserrat; Kan, Julia; Carlson, Alyssa; McCann, Cat; Mondal, Varsha; McQueen, Amy; Padilla-Benavides, Teresita] Wesleyan Univ, Dept Mol Biol &amp; Biochem, Middletown, CT 06459 USA; [Olea-Flores, Monserrat; Syed, Sabriya A.] Univ Massachusetts, Dept Biochem &amp; Mol Biotechnol, Chan Med Sch, Worcester, MA USA; [Szady, Cecily; Ricker, Heather M.; Navea, Juan G.] Skidmore Coll, Dept Chem, Saratoga Springs, NY USA; [Caromile, Leslie A.] UCONN Hlth Ctr, Ctr Vasc Biol, Dept Cell Biol, Farmington, CT USA</t>
  </si>
  <si>
    <t>Wesleyan University; University of Massachusetts System; University of Massachusetts Worcester; Skidmore College; University of Connecticut</t>
  </si>
  <si>
    <t>Padilla-Benavides, T (corresponding author), Wesleyan Univ, Dept Mol Biol &amp; Biochem, Middletown, CT 06459 USA.</t>
  </si>
  <si>
    <t>tpadillabena@wesleyan.edu</t>
  </si>
  <si>
    <t>JUL 11</t>
  </si>
  <si>
    <t>10.3389/fcell.2022.895433</t>
  </si>
  <si>
    <t>WOS:000830988500001</t>
  </si>
  <si>
    <t>Greising, DM; Schwartz, Z; Posner, GH; Sylvia, VL; Dean, DD; Boyan, BD</t>
  </si>
  <si>
    <t>A-ring analogues of 1,25-(OH)(2)D-3 with low affinity for the vitamin D receptor modulate chondrocytes via membrane effects that are dependent on cell maturation</t>
  </si>
  <si>
    <t>PROTEIN-KINASE-C; RESTING ZONE CHONDROCYTES; ARACHIDONIC-ACID TURNOVER; RAT OSTEOSARCOMA CELLS; GROWTH-FACTOR-BETA; D METABOLITES; ALKALINE-PHOSPHATASE; 1-(HYDROXYALKYL)-25-HYDROXYVITAMIN-D3 ANALOGS; PHOSPHOLIPID-METABOLISM; NONGENOMIC REGULATION</t>
  </si>
  <si>
    <t>1,25-(OH)(2)D-3 (1,25) and 24,25-(OH)(2)D-3 (24,25) mediate their effects on chondrocytes through the classic vitamin D receptor (VDR) as well as through rapid membrane-mediated mechanisms, which result in both nongenomic and genomic effects. In intact cells, it is difficult to distinguish between genomic responses via the VDR and genomic and nongenomic responses via membrane-mediated pathways. In this study, we used two analogues of 1,25 that have been modified on the A-ring (2a, 2b) and are only 0.1% as effective in binding to the VDR as 1,25, to examine the role of the VDR in the response of rat costochondral resting zone (RC) and growth zone (GC) chondrocytes to 1,25 and 24,25. Chondrocyte proliferation ([H-3]-thymidine incorporation), proteoglycan production ([S-35]-sulfate incorporation), and second messenger activation (activity of protein kinase C) were measured after treatment with 10(-8) M 1,25, 10(-7) M 24,25, or the analogues at 10(-9)-10(-6) M Both analogues inhibited proliferation of both cell types, as did 1,25 and 24,25. Neither 2a nor 2b had an effect on proteoglycan production by GCs or RCs. 2a caused a dose-dependent stimulation of protein kinase C (PKC) that was not inhibited by cycloheximide or actinomycin D in either GC or RC cells. 2b, on the other hand, had no effect on PKC activity in RCs and only a slight stimulatory effect in GCs. Both cells produce matrix vesicles, extracellular organelles associated with the initial stages of calcification, in culture that are regulated by vitamin D metabolites. Since these organelles contain no DNA or RNA, they provide an excellent model for studying the mechanisms used by vitamin D metabolites to mediate their nongenomic effects. When matrix vesicles were isolated from naive cultures of growth zone cells and treated with 2a, a dose-dependent inhibition of PKC activity was observed that was similar to that found with 1,25-(OH)(2)D-3. Plasma membranes contained increased PKC activity after treatment with 2a, but the magnitude of the effect was less than that seen with 1,25-(OH)(2)D-3. Analogue 2b had no affect on PKC activity in either membrane fraction. When matrix vesicles from resting zone chondrocyte cultures were treated with 24,25-(OH)(2)D-3, a significant decrease in PKC activity was observed. No change in enzyme activity was found for either 1,25-(OH)(2)D-3 or the analogues. PKC activity in the plasma membrane fraction, however, was increased by 24,25-(OH)(2)D-3 as well as by analogue 2a. This study shows that these analogues, with little or no binding to the vitamin D receptor, can affect cell proliferation and PKC activity, but not proteoglycan production. The direct membrane effect is analogue specific and cell maturation dependent. Further, by eliminating the VDR-mediated component of the cellular response, we have provided further evidence for the existence of a membrane receptor(s) involved in mediating nongenomic effects of vitamin D metabolites. (C) 1997 Wiley-Liss, Inc.</t>
  </si>
  <si>
    <t>UNIV TEXAS,HLTH SCI CTR,DEPT ORTHOPAED,SAN ANTONIO,TX 78284; UNIV TEXAS,HLTH SCI CTR,DEPT PERIODONT,SAN ANTONIO,TX 78284; UNIV TEXAS,HLTH SCI CTR,DEPT BIOCHEM,SAN ANTONIO,TX 78284; USAF,SAN ANTONIO,TX; HEBREW UNIV JERUSALEM,HADASSAH FAC DENT MED,DEPT PERIODONT,JERUSALEM,ISRAEL; JOHNS HOPKINS UNIV,DEPT CHEM,SCH ARTS &amp; SCI,BALTIMORE,MD 21218</t>
  </si>
  <si>
    <t>University of Texas System; University of Texas Health San Antonio; University of Texas System; University of Texas Health San Antonio; University of Texas System; University of Texas Health San Antonio; United States Department of Defense; United States Air Force; Hebrew University of Jerusalem; Johns Hopkins University</t>
  </si>
  <si>
    <t>Dean, David/0000-0002-4512-9065</t>
  </si>
  <si>
    <t>WOS:A1997XL16600014</t>
  </si>
  <si>
    <t>Dinh, TKT; Fendler, W; Chalubinska-Fendler, J; Acharya, SS; O'Leary, C; Deraska, PV; D'Andrea, AD; Chowdhury, D; Kozono, D</t>
  </si>
  <si>
    <t>Dinh, Tru-Khang T.; Fendler, Wojciech; Chalubinska-Fendler, Justyna; Acharya, Sanket S.; O'Leary, Colin; Deraska, Peter V.; D'Andrea, Alan D.; Chowdhury, Dipanjan; Kozono, David</t>
  </si>
  <si>
    <t>Circulating miR-29a and miR-150 correlate with delivered dose during thoracic radiation therapy for non-small cell lung cancer</t>
  </si>
  <si>
    <t>RADIATION ONCOLOGY</t>
  </si>
  <si>
    <t>Non-small cell lung cancer; microRNAs; Radiotherapy; Thoracic</t>
  </si>
  <si>
    <t>PULMONARY-FIBROSIS; PCR DATA; RADIOTHERAPY; MICRORNAS; PLASMA; IDENTIFICATION; NORMALIZATION; CHEMOTHERAPY; PNEUMONITIS; BIOMARKERS</t>
  </si>
  <si>
    <t>Background: Risk of normal tissue toxicity limits the amount of thoracic radiation therapy (RT) that can be routinely prescribed to treat non-small cell lung cancer (NSCLC). An early biomarker of response to thoracic RT may provide a way to predict eventual toxicities-such as radiation pneumonitis-during treatment, thereby enabling dose adjustment before the symptomatic onset of late effects. MicroRNAs (miRNAs) were studied as potential serological biomarkers for thoracic RT. As a first step, we sought to identify miRNAs that correlate with delivered dose and standard dosimetric factors. Methods: We performed miRNA profiling of plasma samples obtained from five patients with Stage IIIA NSCLC at five dose-points each during radical thoracic RT. Candidate miRNAs were then assessed in samples from a separate cohort of 21 NSCLC patients receiving radical thoracic RT. To identify a cellular source of circulating miRNAs, we quantified in vitro miRNA expression intracellularly and within secreted exosomes in five NSCLC and stromal cell lines. Results: miRNA profiling of the discovery cohort identified ten circulating miRNAs that correlated with delivered RT dose as well as other dosimetric parameters such as lung V20. In the validation cohort, miR-29a-3p and miR-150-5p were reproducibly shown to decrease with increasing radiation dose. Expression of miR-29a-3p and miR-150-5p in secreted exosomes decreased with radiation. This was concomitant with an increase in intracellular levels, suggesting that exosomal export of these miRNAs may be downregulated in both NSCLC and stromal cells in response to radiation. Conclusions: miR-29a-3p and miR-150-5p were identified as circulating biomarkers that correlated with delivered RT dose. miR-150 has been reported to decrease in the circulation of mammals exposed to radiation while miR-29a has been associated with fibrosis in the human heart, lungs, and kidneys. One may therefore hypothesize that outlier levels of circulating miR-29a-3p and miR-150-5p may eventually help predict unexpected responses to radiation therapy, such as toxicity.</t>
  </si>
  <si>
    <t>[Dinh, Tru-Khang T.; D'Andrea, Alan D.; Chowdhury, Dipanjan; Kozono, David] Harvard Univ, Sch Med, 25 Shattuck St, Boston, MA 02115 USA; [Dinh, Tru-Khang T.; Acharya, Sanket S.; O'Leary, Colin; Deraska, Peter V.; D'Andrea, Alan D.; Chowdhury, Dipanjan; Kozono, David] Dana Farber Canc Inst, Dept Radiat Oncol, 450 Brookline Ave, Boston, MA 02215 USA; [Fendler, Wojciech] Med Univ Lodz, Dept Biostat &amp; Translat Med, Al Kosciuszki 4, PL-90419 Lodz, Poland; [Chalubinska-Fendler, Justyna] Med Univ Lodz, Dept Radiat Oncol, Al Kosciuszki 4, PL-90419 Lodz, Poland; [D'Andrea, Alan D.] Dana Farber Canc Inst, Ctr DNA Damage &amp; Repair, 450 Brookline Ave, Boston, MA 02215 USA; [Kozono, David] Brigham &amp; Womens Hosp, Dept Radiat Oncol, 75 Francis St, Boston, MA 02115 USA</t>
  </si>
  <si>
    <t>Harvard University; Harvard University; Dana-Farber Cancer Institute; Medical University Lodz; Medical University Lodz; Harvard University; Dana-Farber Cancer Institute; Harvard University; Brigham &amp; Women's Hospital</t>
  </si>
  <si>
    <t>D'Andrea, AD; Chowdhury, D; Kozono, D (corresponding author), Harvard Univ, Sch Med, 25 Shattuck St, Boston, MA 02115 USA.;D'Andrea, AD; Chowdhury, D; Kozono, D (corresponding author), Dana Farber Canc Inst, Dept Radiat Oncol, 450 Brookline Ave, Boston, MA 02215 USA.;D'Andrea, AD (corresponding author), Dana Farber Canc Inst, Ctr DNA Damage &amp; Repair, 450 Brookline Ave, Boston, MA 02215 USA.;Kozono, D (corresponding author), Brigham &amp; Womens Hosp, Dept Radiat Oncol, 75 Francis St, Boston, MA 02115 USA.</t>
  </si>
  <si>
    <t>alan_dandrea@dfci.harvard.edu; dipanjan_chowdhury@dfci.harvard.edu; dkozono@lroc.harvard.edu</t>
  </si>
  <si>
    <t>Fendler, Wojciech Maksymilian/S-9592-2016; Fendler, Wojciech/AAG-7020-2019</t>
  </si>
  <si>
    <t>Fendler, Wojciech Maksymilian/0000-0002-5083-9168; Fendler, Wojciech/0000-0002-5083-9168; Dinh, Tru-Khang/0000-0002-9595-045X</t>
  </si>
  <si>
    <t>1748-717X</t>
  </si>
  <si>
    <t>10.1186/s13014-016-0636-4</t>
  </si>
  <si>
    <t>Oncology; Radiology, Nuclear Medicine &amp; Medical Imaging</t>
  </si>
  <si>
    <t>WOS:000374929400001</t>
  </si>
  <si>
    <t>Iwano, M; Igarashi, M; Tarutani, Y; Kaothien-Nakayama, P; Nakayama, H; Moriyama, H; Yakabe, R; Entani, T; Shimosato-Asano, H; Ueki, M; Tamiya, G; Takayama, S</t>
  </si>
  <si>
    <t>Iwano, Megumi; Igarashi, Motoko; Tarutani, Yoshiaki; Kaothien-Nakayama, Pulla; Nakayama, Hideki; Moriyama, Hideki; Yakabe, Ryo; Entani, Tetsuyuki; Shimosato-Asano, Hiroko; Ueki, Masao; Tamiya, Gen; Takayama, Seiji</t>
  </si>
  <si>
    <t>A Pollen Coat-Inducible Autoinhibited Ca2+-ATPase Expressed in Stigmatic Papilla Cells Is Required for Compatible Pollination in the Brassicaceae</t>
  </si>
  <si>
    <t>PLANT CELL</t>
  </si>
  <si>
    <t>EXTRACELLULAR CALCIUM INFLUX; SELF-INCOMPATIBILITY; TUBE GROWTH; SIGNALING NETWORKS; PROTEIN; IDENTIFICATION; COMPONENTS; ION; BIOSYNTHESIS; GERMINATION</t>
  </si>
  <si>
    <t>In the Brassicaceae, intraspecific non-self pollen (compatible pollen) can germinate and grow into stigmatic papilla cells, while self-pollen or interspecific pollen is rejected at this stage. However, the mechanisms underlying this selective acceptance of compatible pollen remain unclear. Here, using a cell-impermeant calcium indicator, we showed that the compatible pollen coat contains signaling molecules that stimulate Ca2+ export from the papilla cells. Transcriptome analyses of stigmas suggested that autoinhibited Ca2+-ATPase13 (ACA13) was induced after both compatible pollination and compatible pollen coat treatment. A complementation test using a yeast Saccharomyces cerevisiae strain lacking major Ca2+ transport systems suggested that ACA13 indeed functions as an autoinhibited Ca2+ transporter. ACA13 transcription increased in papilla cells and in transmitting tracts after pollination. ACA13 protein localized to the plasma membrane and to vesicles near the Golgi body and accumulated at the pollen tube penetration site after pollination. The stigma of a T-DNA insertion line of ACA13 exhibited reduced Ca2+ export, as well as defects in compatible pollen germination and seed production. These findings suggest that stigmatic ACA13 functions in the export of Ca2+ to the compatible pollen tube, which promotes successful fertilization.</t>
  </si>
  <si>
    <t>[Iwano, Megumi; Igarashi, Motoko; Kaothien-Nakayama, Pulla; Moriyama, Hideki; Yakabe, Ryo; Entani, Tetsuyuki; Shimosato-Asano, Hiroko; Takayama, Seiji] Nara Inst Sci &amp; Technol, Grad Sch Biol Sci, Nara 6300192, Japan; [Tarutani, Yoshiaki] Natl Inst Genet, Div Agr Genet, Dept Integrated Genet, Mishima, Shizuoka 4118540, Japan; [Nakayama, Hideki] Nagasaki Univ, Instutute Environm Studies, Grad Sch Fisheries Sci &amp; Environm Studies, Nagasaki 8528521, Japan; [Ueki, Masao; Tamiya, Gen] Tohoku Univ, Grad Sch Med, Tohoku Med Megabank Org, Sendai, Miyagi 9808573, Japan</t>
  </si>
  <si>
    <t>Nara Institute of Science &amp; Technology; Research Organization of Information &amp; Systems (ROIS); National Institute of Genetics (NIG) - Japan; Nagasaki University; Tohoku University</t>
  </si>
  <si>
    <t>Iwano, M (corresponding author), Nara Inst Sci &amp; Technol, Grad Sch Biol Sci, Nara 6300192, Japan.</t>
  </si>
  <si>
    <t>m-iwano@bs.naist.jp</t>
  </si>
  <si>
    <t>Nakayama, Hideki/N-8302-2019; NAKAYAMA, Hideki/G-7180-2011</t>
  </si>
  <si>
    <t>Nakayama, Hideki/0000-0001-7590-5320; NAKAYAMA, Hideki/0000-0001-7590-5320; Tamiya, Gen/0000-0002-0597-415X; Kaothien-Nakayama, Pulla/0000-0002-1508-2083</t>
  </si>
  <si>
    <t>1040-4651</t>
  </si>
  <si>
    <t>1531-298X</t>
  </si>
  <si>
    <t>10.1105/tpc.113.121350</t>
  </si>
  <si>
    <t>Biochemistry &amp; Molecular Biology; Plant Sciences; Cell Biology</t>
  </si>
  <si>
    <t>WOS:000333688300011</t>
  </si>
  <si>
    <t>Johnson, K; Hashimoto, S; Lotz, M; Pritzker, K; Goding, J; Terkeltaub, R</t>
  </si>
  <si>
    <t>Up-regulated expression of the phosphodiesterase nucleotide pyrophosphatase family member PC-1 is a marker and pathogenic factor for knee meniscal cartilage matrix calcification</t>
  </si>
  <si>
    <t>ARTHRITIS AND RHEUMATISM</t>
  </si>
  <si>
    <t>HUMAN OSTEOARTHRITIC CARTILAGE; CELL MEMBRANE GLYCOPROTEIN-1; HUMAN ARTICULAR-CARTILAGE; CALCIUM PYROPHOSPHATE; INORGANIC PYROPHOSPHATE; HYPERTROPHIC CHONDROCYTES; CRYSTAL-FORMATION; AQUEOUS-SOLUTIONS; APOPTOTIC BODIES; IN-VITRO</t>
  </si>
  <si>
    <t>Objective. Elevated cartilage inorganic pyrophosphate (PPi) production and PPi-generating nucleoside triphosphate pyrophosphohydrolase (NTPPPH) activity are strongly linked with aging-related cartilage calcification in meniscal and articular cartilages. We hypothesized that there were divergent relationships of 3 NTPPPH isozymes with cartilage matrix calcification and sought to identify them. Methods. We studied knee medial meniscal expression in situ of 3 NTPPPH isozymes of the phosphodiesterase nucleotide pyrophosphatase (PDNP) family: plasma cell membrane glycoprotein 1 (PC-1, or PDNP1), autotaxin (ATX, or PDNP2), and BIO/PDNP3. We also used complementary DNA transfection to assess differential functions in matrix calcification of each NTPPPH isozyme in vitro in meniscal cells. Results. We observed diffuse cell-associated ATX and BIO/PDNP3 expression in central (chondrocytic) and, to a lesser degree, peripheral (fibroblastic) regions of normal, degenerative uncalcified, and degenerative calcified menisci. In contrast, PC-1 expression was only robust at sites of apoptotic cells and calcification in central regions of degenerative menisci. Only PC-1 was abundant at the perimeter of meniscal cells and in association with meniscal cell-derived matrix vesicles (MVs). Because each PDNP-family isozyme was expressed by cells near calcifications, we transfected the isozymes in nonadherent knee meniscal cells cultured with ascorbic acid, beta -glycerophosphate, and dexamethasone supplementation to stimulate them to calcify the matrix. PC-1, but not ATX or BIO/PDNP3, consistently promoted increased MV NTPPPH, NW-associated PPi, and extracellular PPi. PC-1 also increased matrix calcification (with hydroxyapatite crystals) by meniscal cells.,A,TX uniquely induced alkaline phosphatase activity, but promoted only moderately increased matrix calcification. Conclusion. We identified divergent effects of 3 PDNP-family NTPPPH isozymes on meniscal cell matrix calcification. Increased expression of PC-1 is both a marker and a potential pathogenic factor for knee meniscal cartilage matrix calcification.</t>
  </si>
  <si>
    <t>Vet Adm Med Ctr, San Diego, CA 92161 USA; Univ Calif San Diego, La Jolla, CA 92093 USA; Scripps Res Inst, La Jolla, CA USA; Mt Sinai Hosp, Toronto, ON M5G 1X5, Canada; Monash Univ Sch Med, Prahran, Vic, Australia</t>
  </si>
  <si>
    <t>US Department of Veterans Affairs; Veterans Health Administration (VHA); University of California System; University of California San Diego; Scripps Research Institute; University of Toronto; Sinai Health System Toronto; Monash University</t>
  </si>
  <si>
    <t>Terkeltaub, R (corresponding author), Vet Adm Med Ctr, 3350 La Jolla Village Dr, San Diego, CA 92161 USA.</t>
  </si>
  <si>
    <t>Johnson, Kristen/0000-0003-0788-7217</t>
  </si>
  <si>
    <t>0004-3591</t>
  </si>
  <si>
    <t>10.1002/1529-0131(200105)44:5&lt;1071::AID-ANR187&gt;3.3.CO;2-V</t>
  </si>
  <si>
    <t>WOS:000171751000012</t>
  </si>
  <si>
    <t>Ye, YH; Kawamura, K; Sasaki, M; Kawamura, N; Groenen, P; Gelpke, MDS; Kumagai, J; Fukuda, J; Tanaka, T</t>
  </si>
  <si>
    <t>Ye, Yinghui; Kawamura, Kazuhiro; Sasaki, Mitsue; Kawamura, Nanami; Groenen, Peter; Gelpke, Maarten D. Sollewijn; Kumagai, Jin; Fukuda, Jun; Tanaka, Toshinobu</t>
  </si>
  <si>
    <t>Leptin and ObRa/MEK signalling in mouse oocyte maturation and preimplantation embryo development</t>
  </si>
  <si>
    <t>REPRODUCTIVE BIOMEDICINE ONLINE</t>
  </si>
  <si>
    <t>leptin; leptin receptor; oocyte maturation; signal transduction</t>
  </si>
  <si>
    <t>ENDOTHELIAL GROWTH-FACTOR; FOLLICULAR-FLUID LEPTIN; INTRACYTOPLASMIC SPERM INJECTION; ASSISTED REPRODUCTIVE-CYCLES; POLYCYSTIC OVARIAN SYNDROME; PROTEIN-KINASE CASCADE; IN-VITRO FERTILIZATION; RECEPTOR EXPRESSION; BOVINE OOCYTES; SERUM LEPTIN</t>
  </si>
  <si>
    <t>Recent studies indicate that LH stimulates production of ovarian paracrine factors that induce meiosis of the oocyte. DNA microarray analyses of ovarian transcripts were performed in mice and major increases of a short isoform of leptin receptor, ObRa, were identified by the preovulatory LH/human chorionic gonadotrophin (HCG) surge. In oocytes, the level of ObRa transcripts was increased shortly after HCG stimulation, whereas the level of ObRb transcripts was not changed. Leptin was produced by Cumulus, granulosa, theca and interstitial cells of ovaries and its transcript level was not regulated during gonadotrophin treatment. Treatment with leptin promoted germinal vesicle breakdown (GVBD) in oocytes within preovulatory follicles, and enhanced first polar body extrusion in both cumulus-oocyte complexes and denuded oocytes. The leptin-promoted GVBD and first polar body extrusion were blocked by a mitogen-activated protein kinase extracellular signal regulated kinase kinases (MEK)1/2 inhibitor, U0126, but not its inactive analogue U0124. Furthermore, leptin promoted fertilization of oocytes and the in-vitro development of zygotes to preimplantation embryos. These findings suggest paracrine roles of leptin in the enhancement of nuclear maturation of oocytes through MEK 1/2 signalling, and in the promotion of cytoplasmic maturation essential for successful oocyte development to the preimplantation embryos.</t>
  </si>
  <si>
    <t>[Ye, Yinghui; Kawamura, Kazuhiro; Sasaki, Mitsue; Kawamura, Nanami; Kumagai, Jin; Fukuda, Jun; Tanaka, Toshinobu] Akita Univ, Sch Med, Dept Obstet &amp; Gynecol, Akita 010, Japan; [Kawamura, Nanami] Akita Univ, Sch Med, Dept Dermatol &amp; Plast Surg, Akita 010, Japan; [Ye, Yinghui] Zhejiang Univ, Sch Med, Womens Hosp, Dept Reprod Endocrinol, Hangzhou, Zhejiang, Peoples R China; [Groenen, Peter; Gelpke, Maarten D. Sollewijn] Organon, Oss, Netherlands</t>
  </si>
  <si>
    <t>Akita University; Akita University; Zhejiang University</t>
  </si>
  <si>
    <t>Ye, YH (corresponding author), Akita Univ, Sch Med, Dept Obstet &amp; Gynecol, Akita 010, Japan.</t>
  </si>
  <si>
    <t>yeyh1999@hotmail.com</t>
  </si>
  <si>
    <t>1472-6483</t>
  </si>
  <si>
    <t>1472-6491</t>
  </si>
  <si>
    <t>10.1016/S1472-6483(10)60070-3</t>
  </si>
  <si>
    <t>WOS:000268786600007</t>
  </si>
  <si>
    <t>DAINIAK, N; SORBA, S</t>
  </si>
  <si>
    <t>INTRACELLULAR REGULATION OF THE PRODUCTION AND RELEASE OF HUMAN ERYTHROID-DIRECTED LYMPHOKINES</t>
  </si>
  <si>
    <t>ERYTHROPOIESIS; LYMPHOKINES; MEMBRANE-BOUND GROWTH FACTORS</t>
  </si>
  <si>
    <t>EXTRACELLULAR MEMBRANE-VESICLES; GROWTH FACTOR-I; CYTOPLASM PROTEINS; MONONUCLEAR-CELLS; PERIPHERAL-BLOOD; LYMPHOCYTES-B; RESTING STATE; INVITRO; PROLIFERATION; GANGLIOSIDES</t>
  </si>
  <si>
    <t>Erythroid burst-promoting activity (BPA) is released from B lymphocytes in soluble (sBPA) and membrane-bound (mBPA) forms. To study intracellular processes involved in production of these physically separable factors, we measured their time course release into serum-free medium from B cells that were pulse-exposed for 5-240 min to nonmitogenic base medium or inhibitors of energy-dependent metabolism (2,4-dinitrophenol, sodium azide, and 2-deoxy-D-glucose), transcription and translation (actinomycin D and cycloheximide), replicative DNA synthesis (cytosine arabinoside), or posttranslational processing (monensin). mBPA and sBPA were initially detectable after 1 and 2 h, respectively. Maximum cumulative levels of 8 +/- 0.6 and 9 +/- 1.0 U/ml, respectively, were reached after 8 h. In contrast, cumulative mBPA and sBPA levels in medium prepared from cells treated with metabolic inhibitors were reduced by up to 90%. Both surface exfoliation and mBPA expression by intact plasma membranes were diminished. Whereas pulse-exposure to cytosine arabinoside had no effect, treatment with actinomycin D or Cycloheximide abolished BPA expression. Exposure to monensin reduced mBPA and sBPA levels to zero in a concentration- and time-dependent fashion. We conclude that production and release of BPA is an energy-dependent process, requiring mRNA synthesis and translation and posttranslational remodeling of the protein but not replicative DNA synthesis.</t>
  </si>
  <si>
    <t>UNIV CONNECTICUT,CTR HLTH,DEPT LAB MED,FARMINGTON,CT 06032; CONNECTICUT RED CROSS,FARMINGTON,CT 06032</t>
  </si>
  <si>
    <t>University of Connecticut; American Red Cross</t>
  </si>
  <si>
    <t>DAINIAK, N (corresponding author), UNIV CONNECTICUT,CTR HLTH,DEPT MED,263 FARMINGTON AVE,FARMINGTON,CT 06032, USA.</t>
  </si>
  <si>
    <t>10.1172/JCI114974</t>
  </si>
  <si>
    <t>WOS:A1991EQ97600029</t>
  </si>
  <si>
    <t>Gasparello, J; Papi, C; Allegretti, M; Giordani, E; Carboni, F; Zazza, S; Pescarmona, E; Romania, P; Giacomini, P; Scapoli, C; Gambari, R; Finotti, A</t>
  </si>
  <si>
    <t>Gasparello, Jessica; Papi, Chiara; Allegretti, Matteo; Giordani, Elena; Carboni, Fabio; Zazza, Settimio; Pescarmona, Edoardo; Romania, Paolo; Giacomini, Patrizio; Scapoli, Chiara; Gambari, Roberto; Finotti, Alessia</t>
  </si>
  <si>
    <t>A Distinctive microRNA (miRNA) Signature in the Blood of Colorectal Cancer (CRC) Patients at Surgery</t>
  </si>
  <si>
    <t>circulating miRNA; liquid biopsy; colorectal cancer; next generation sequencing; droplet digital PCR</t>
  </si>
  <si>
    <t>MUTATIONS; KRAS; DNA; PROLIFERATION; VALIDATION; EXPRESSION; BIOMARKERS; MIR-221; PLASMA</t>
  </si>
  <si>
    <t>Background: Liquid biopsy (LB) provides an examination of the peripheral blood of cancer patients for circulating tumor cells, cell-free nucleic acids and microRNAs (miRNAs) and is an established tool of precision medicine. Unlike most previous LB studies that focused on advanced metastatic colorectal cancer (CRC), we assessed miRNA dysregulation in blood samples obtained on the day of surgery from patients with primary CRC lesions but no clinical evidence of extra-colonic diffusion. In this study, plasma preparation included miRNAs associated to exosomes, but excluded large macrovesicles from the preparation. Methods: The miRNA profile in plasma isolated from a cohort of 35 CRC patients at the day of surgery was analyzed by Next Generation Sequencing (NGS) and further confirmed by droplet digital RT-PCR (dd-RT-PCR). Results: A miR-141-3p/miR-221-3p/miR-222-3p upregulation signature previously described in advanced CRC did not discriminate the analyzed early-CRC cohort from six tumor-free donors (Tf-D). In contrast, NGS-based miRNome analysis of a training cohort of five CRC and three tumor-free donors identified a novel, distinct nine miRNA signature comprising five up-regulated and four down-regulated miRNAs, six of which could be confirmed in the full CRC and tumor-free donor validation dataset by dd-RT-PCR. Additionally, aKRAS(Kirsten Rat Sarcoma Viral Oncogene Homolog) mutant status was correlated with the plasma content of three identified miRNAs. Conclusions: When the data obtained were comparatively evaluated, at least one of the miRNAs belonging to the signature list was found to be dysregulated in 34/35 (97.1%) of our early-CRC plasma samples. The miRNA list provides diagnostic markers as well as possible molecular targets for protocols focusing on microRNA therapeutics.</t>
  </si>
  <si>
    <t>[Gasparello, Jessica; Papi, Chiara; Scapoli, Chiara; Gambari, Roberto; Finotti, Alessia] Ferrara Univ, Dept Life Sci &amp; Biotechnol, I-44121 Ferrara, Italy; [Allegretti, Matteo; Giordani, Elena; Romania, Paolo; Giacomini, Patrizio] Regina Elena Inst Canc Res, IRCCS Ist Ricovero &amp; Cura Carattere Sci, Oncogen &amp; Epigenet, I-00144 Rome, Italy; [Carboni, Fabio; Zazza, Settimio] Regina Elena Inst Canc Res, IRCCS Ist Ricovero &amp; Cura Carattere Sci, Digest Surg, I-00144 Rome, Italy; [Pescarmona, Edoardo] Regina Elena Inst Canc Res, IRCCS Ist Ricovero &amp; Cura Carattere Sci, Pathol, I-00144 Rome, Italy</t>
  </si>
  <si>
    <t>University of Ferrara; Arcispedale Sant'Anna; IRCCS Istituti Fisioterapici Ospitalieri (IFO); IRCCS Regina Elena; IRCCS Istituti Fisioterapici Ospitalieri (IFO); IRCCS Regina Elena; IRCCS Istituti Fisioterapici Ospitalieri (IFO); IRCCS Regina Elena</t>
  </si>
  <si>
    <t>Gambari, R; Finotti, A (corresponding author), Ferrara Univ, Dept Life Sci &amp; Biotechnol, I-44121 Ferrara, Italy.</t>
  </si>
  <si>
    <t>gspjsc@unife.it; chiara.papi@unife.it; matteo.allegretti@ifo.gov.it; elena.giordani@ifo.gov.it; fabio.carboni@ifo.gov.it; settimio.zazza@ifo.gov.it; edoardo.pescarmona@ifo.gov.it; pabepabe@gmail.com; patrizio.giacomini@ifo.gov.it; chiara.scapoli@unife.it; gam@unife.it; alessia.finotti@unife.it</t>
  </si>
  <si>
    <t>Giacomini, Patrizio/K-5217-2016; Giordani, Elena/AAC-6646-2022; Allegretti, Matteo/K-3862-2018; Gasparello, Jessica/N-6975-2018; Finotti, Alessia/C-6268-2012</t>
  </si>
  <si>
    <t>Giacomini, Patrizio/0000-0001-6109-1709; Allegretti, Matteo/0000-0003-3398-8775; Gasparello, Jessica/0000-0001-8557-0739; Finotti, Alessia/0000-0002-7638-515X; Giordani, Elena/0000-0002-6445-4509; Carboni, Fabio/0000-0002-2634-4878; Papi, Chiara/0000-0001-9242-1766; Zazza, Settimio/0000-0002-0465-1383; Pescarmona, Edoardo/0000-0002-0443-9331</t>
  </si>
  <si>
    <t>10.3390/cancers12092410</t>
  </si>
  <si>
    <t>WOS:000580779600001</t>
  </si>
  <si>
    <t>Navangione, A; Rispoli, G; Gabellini, N; Carafoli, E</t>
  </si>
  <si>
    <t>Electrophysiological characterization of ionic transport by the retinal exchanger expressed in human embryonic kidney cells</t>
  </si>
  <si>
    <t>SODIUM-CALCIUM EXCHANGE; ROD OUTER SEGMENTS; NA-CA EXCHANGE; SARCOLEMMAL VESICLES; NA+-CA-2+ EXCHANGE; SALAMANDER RODS; LIZARD RETINA; K+</t>
  </si>
  <si>
    <t>The retinal Na+:Ca2+,K+ exchanger cDNA was transiently expressed in human embrionic kidney (HEK 293) cells by transfection with plasmid DNA. The correct targeting of the expressed protein to the plasma membrane was confirmed by immunocytochemistry. The reverse exchange current(Ca2+ imported per Na+ extruded) was measured in whole-cell voltage-clamp experiments after intracellular perfusion with Na+ (Na+, 128 mM) and extracellular perfusion with Ca2+ (Ca-0(2+), 1 mM) and K-0(+) (20 mM), As expected, the exchange current was suppressed by removing Ca-0(2+). Surprisingly, however, it was also abolished by increasing Na-0(+) to almost abolish the Na+ gradient, and it was almost unaffected by the removal of K-0(+). Apparently, then, at variance with the exchanger in the rod outer segment, the retinal exchanger expressed in 293 cells acts essentially as a Na+:Ca2+ exchanger and does not require K+ for its electrogenic activity.</t>
  </si>
  <si>
    <t>UNIV FERRARA,DIPARTIMENTO BIOL,SEZ FISIOL GEN,IST NAZL FIS MAT,I-44100 FERRARA,ITALY; UNIV PADUA,DIPARTIMENTO BIOCHIM,I-35121 PADUA,ITALY</t>
  </si>
  <si>
    <t>Consiglio Nazionale delle Ricerche (CNR); Istituto Nazionale per la Fisica della Materia (INFM-CNR); University of Ferrara; University of Padua</t>
  </si>
  <si>
    <t>Carafoli, Ernesto/K-5192-2016</t>
  </si>
  <si>
    <t>Carafoli, Ernesto/0000-0002-7826-0094</t>
  </si>
  <si>
    <t>10.1016/S0006-3495(97)78046-9</t>
  </si>
  <si>
    <t>WOS:A1997XF77600005</t>
  </si>
  <si>
    <t>Zhang, AQ; Li, M; Wang, B; Klein, JD; Price, SR; Wang, XNH</t>
  </si>
  <si>
    <t>Zhang, Aiqing; Li, Min; Wang, Bin; Klein, Janet D.; Price, S. Russ; Wang, Xiaonan H.</t>
  </si>
  <si>
    <t>miRNA-23a/27a attenuates muscle atrophy and renal fibrosis through muscle-kidney crosstalk</t>
  </si>
  <si>
    <t>JOURNAL OF CACHEXIA SARCOPENIA AND MUSCLE</t>
  </si>
  <si>
    <t>Exosome; Crosstalk; Insulin signalling; pSMAD2/3; microRNA</t>
  </si>
  <si>
    <t>EXOSOME-MEDIATED EXPORT; DIABETIC-NEPHROPATHY; CATABOLIC CONDITIONS; PROTEIN-DEGRADATION; ANGIOTENSIN-II; ACTIVATION; MECHANISM; PATHWAY; PROTEOLYSIS; MICRORNAS</t>
  </si>
  <si>
    <t>Background The treatment of muscle wasting is accompanied by benefits in other organs, possibly resulting from muscle-organ crosstalk. However, how the muscle communicates with these organs is less understood. Two microRNAs (miRs), miR-23a and miR-27a, are located together in a gene cluster and regulate proteins that are involved in the atrophy process. MiR-23a/27a has been shown to reduce muscle wasting and act as an anti-fibrotic agent. We hypothesized that intramuscular injection of miR-23a/27a would counteract both muscle wasting and renal fibrosis lesions in a streptozotocin-induced diabetic model. Methods We generated an adeno-associated virus (AAV) that overexpresses the miR-23a approximate to 27a approximate to 24-2 precursor RNA and injected it into the tibialis anterior muscle of streptozotocin-induced diabetic mice. Muscle cross-section area (immunohistology plus software measurement) and muscle function (grip strength) were used to evaluate muscle atrophy. Fibrosis-related proteins were measured by western blot to monitor renal damage. In some cases, AAV-GFP was used to mimic the miR movement in vivo, allowing us to track organ redistribution by using the Xtreme Imaging System. Results The injection of AAV-miR-23a/27a increased the levels of miR-23a and miR-27a as well as increased phosphorylated Akt, attenuated the levels of FoxO1 and PTEN proteins, and reduced the abundance of TRIM63/MuRF1 and FBXO32/atrogin-1 in skeletal muscles. It also decreased myostatin mRNA and protein levels as well as the levels of phosphorylated pSMAD2/3. Provision of miR-23a/27a attenuates the diabetes-induced reduction of muscle cross-sectional area and muscle function. Curiously, the serum BUN of diabetic animals was reduced in mice undergoing the miR-23a/27a intervention. Renal fibrosis, evaluated by Masson trichromatic staining, was also decreased as were kidney levels of phosphorylated SMAD2/3, alpha smooth muscle actin, fibronectin, and collagen. In diabetic mice injected intramuscularly with AAV-GFP, GFP fluorescence levels in the kidneys showed linear correlation with the levels in injected muscle when examined by linear regression. Following intramuscular injection of AAV-miR-23a approximate to 27a approximate to 24-2, the levels of miR-23a and miR-27a in serum exosomes and kidney were significantly increased compared with samples from control virus-injected mice; however, no viral DNA was detected in the kidney. Conclusions We conclude that overexpression of miR-23a/27a in muscle prevents diabetes-induced muscle cachexia and attenuates renal fibrosis lesions via muscle-kidney crosstalk. Further, this crosstalk involves movement of miR potentially through muscle originated exosomes and serum distribution without movement of AAV. These results could provide new approaches for developing therapeutic strategies for diabetic nephropathy with muscle wasting.</t>
  </si>
  <si>
    <t>[Zhang, Aiqing; Li, Min; Wang, Bin; Klein, Janet D.; Price, S. Russ; Wang, Xiaonan H.] Emory Univ, Dept Med, Renal Div, Atlanta, GA 30322 USA; [Zhang, Aiqing] Nanjing Med Univ, Affiliated Hosp 2, Dept Pediat Nephrol, Nanjing, Jiangsu, Peoples R China; [Li, Min] Chinese Acad Tradit Chinese Med, Guanganmen Hosp, Mol Biol Lab, Beijing, Peoples R China; [Wang, Bin] Southeast Univ, Zhong Da Hosp, Inst Nephrol, Nanjing, Jiangsu, Peoples R China; [Price, S. Russ] Atlanta Vet Affairs Med Ctr, Res Serv Line, Decatur, IL USA; [Price, S. Russ] East Carolina Univ, Brody Sch Med, Dept Biochem &amp; Mol Biol, Greenville, NC USA</t>
  </si>
  <si>
    <t>Emory University; Nanjing Medical University; China Academy of Chinese Medical Sciences; Guang'anmen Hospital, CACMS; Southeast University - China; University of North Carolina; East Carolina University</t>
  </si>
  <si>
    <t>Wang, XNH (corresponding author), Emory Univ, Sch Med, Renal Med, WMB Room 338C,M-S 1930-001-1AG,1639 Pierce Dr, Atlanta, GA 30322 USA.</t>
  </si>
  <si>
    <t>xwang03@emory.edu</t>
  </si>
  <si>
    <t>2190-6009</t>
  </si>
  <si>
    <t>10.1002/jcsm.12296</t>
  </si>
  <si>
    <t>Geriatrics &amp; Gerontology; Medicine, General &amp; Internal</t>
  </si>
  <si>
    <t>Geriatrics &amp; Gerontology; General &amp; Internal Medicine</t>
  </si>
  <si>
    <t>WOS:000442345000012</t>
  </si>
  <si>
    <t>Kim, J; Park, S; Hwang, D; Kim, SI; Lee, H</t>
  </si>
  <si>
    <t>Kim, Jungho; Park, Sunyoung; Hwang, Dasom; Kim, Seung Il; Lee, Hyeyoung</t>
  </si>
  <si>
    <t>Diagnostic Value of Circulating miR-202 in Early-Stage Breast Cancer in South Korea</t>
  </si>
  <si>
    <t>MEDICINA-LITHUANIA</t>
  </si>
  <si>
    <t>breast cancer; circulating biomarker; miR-202; RT-qPCR; diagnosis</t>
  </si>
  <si>
    <t>CELL-PROLIFERATION; LUNG-CANCER; MICRORNAS; BIOMARKERS; BIOGENESIS; BLOOD</t>
  </si>
  <si>
    <t>Background and objectives: Breast cancer is the most common cancer among women worldwide. Early stage diagnosis is important for predicting increases in treatment success rates and decreases in patient mortality. Recently, circulating biomarkers such as circulating tumor cells, circulating tumor DNA, exosomes, and circulating microRNAs have been examined as blood-based markers for the diagnosis of breast cancer. AlthoughmiR-202has been studied for its function or expression in breast cancer, its potential diagnostic value in a clinical setting remains elusive andmiR-202has not been investigated in South Korea. In this study, we aimed to evaluate the diagnostic utility ofmiR-202in plasma samples of breast cancer patients in South Korea.Materials and Methods:We investigatedmiR-202expression in the plasma of 30 breast cancer patients during diagnosis along with 30 healthy controls in South Korea by quantitative reverse transcription PCR.Results:The results showed that circulatingmiR-202levels were significantly elevated in the breast cancer patients compared with those in healthy controls (p&lt; 0.001). The sensitivity and specificity of circulatingmiR-202were 90.0% and 93.0%, respectively. Additionally, circulatingmiR-202showed high positivity at early stage. The positive rate ofmiR-202was as follows: 100% (10/10) for stage I, 90% (9/10) for stage II, and 80% (8/10) for stage III.miR-202was also a predictor of a 9.6-fold high risk for breast cancer (p&lt; 0.001).Conclusions:Additional alternative molecular biomarkers for diagnosis and management of pre-cancer patients are needed. CirculatingmiR-202might be potential diagnostic tool for detecting early stage breast cancer.</t>
  </si>
  <si>
    <t>[Kim, Jungho] Catholic Univ Pusan, Coll Hlth Sci, Dept Biomed Lab Sci, Busan 46252, South Korea; [Park, Sunyoung; Hwang, Dasom; Lee, Hyeyoung] Yonsei Univ, Coll Hlth Sci, Dept Biomed Lab Sci, Wonju 26493, Gangwon, South Korea; [Park, Sunyoung] Yonsei Univ, Sch Mech Engn, Seoul 03772, South Korea; [Kim, Seung Il] Yonsei Univ, Coll Med, Dept Surg, Seoul 03772, South Korea</t>
  </si>
  <si>
    <t>Catholic University Pusan; Yonsei University; Yonsei University; Yonsei University; Yonsei University Health System</t>
  </si>
  <si>
    <t>Lee, H (corresponding author), Yonsei Univ, Coll Hlth Sci, Dept Biomed Lab Sci, Wonju 26493, Gangwon, South Korea.;Kim, SI (corresponding author), Yonsei Univ, Coll Med, Dept Surg, Seoul 03772, South Korea.</t>
  </si>
  <si>
    <t>jutosa70@cup.ac.kr; angelsy88@gmail.com; hdasom208@naver.com; skim@yuhs.ac; hyelee@yonsei.ac.kr</t>
  </si>
  <si>
    <t>1010-660X</t>
  </si>
  <si>
    <t>1648-9144</t>
  </si>
  <si>
    <t>10.3390/medicina56070340</t>
  </si>
  <si>
    <t>WOS:000554128600001</t>
  </si>
  <si>
    <t>Bao, K; Li, XF; Poveda, L; Qi, WH; Selevsek, N; Gumus, P; Emingil, G; Grossmann, J; Diaz, PI; Hajishengallis, G; Bostanci, N; Belibasakis, GN</t>
  </si>
  <si>
    <t>Bao, Kai; Li, Xiaofei; Poveda, Lucy; Qi, Weihong; Selevsek, Nathalie; Gumus, Pinar; Emingil, Gulnur; Grossmann, Jonas; Diaz, Patricia I.; Hajishengallis, George; Bostanci, Nagihan; Belibasakis, Georgios N.</t>
  </si>
  <si>
    <t>Proteome and Microbiome Mapping of Human Gingival Tissue in Health and Disease</t>
  </si>
  <si>
    <t>tissue proteomic analysis; biofilm; gingiva; periodontitis; microbiome</t>
  </si>
  <si>
    <t>STREPTOCOCCUS-VESTIBULARIS; PERIODONTAL PATHOGENS; DIVERSITY; PROTEINS; CELL; IDENTIFICATION; BIOFILMS; SALIVA</t>
  </si>
  <si>
    <t>Efforts to map gingival tissue proteomes and microbiomes have been hampered by lack of sufficient tissue extraction methods. The pressure cycling technology (PCT) is an emerging platform for reproducible tissue homogenisation and improved sequence retrieval coverage. Therefore, we employed PCT to characterise the proteome and microbiome profiles in healthy and diseased gingival tissue. Healthy and diseased contralateral gingival tissue samples (totaln= 10) were collected from five systemically healthy individuals (51.6 +/- 4.3 years) with generalised chronic periodontitis. The tissues were then lysed and digested using a Barocycler, proteins were prepared and submitted for mass spectrometric analysis and microbiome DNA for 16S rRNA profiling analysis. Overall, 1,366 human proteins were quantified (false discovery rate 0.22%), of which 69 proteins were differentially expressed (&gt;= 2 peptides andp&lt; 0.05, 62 up, 7 down) in periodontally diseased sites, compared to healthy sites. These were primarily extracellular or vesicle-associated proteins, with functions in molecular transport. On the microbiome level, 362 species-level operational taxonomic units were identified. Of those, 14 predominant species accounted for &gt;80% of the total relative abundance, whereas 11 proved to be significantly different between healthy and diseased sites. Among them,Treponemasp. HMT253 andFusobacterium naviformeand were associated with disease sites and strongly interacted (r&gt; 0.7) with 30 and 6 up-regulated proteins, respectively. Healthy-site associated strainsStreptococcus vestibularis, Veillonella dispar, Selenomonassp. HMT478 andLeptotrichiasp. HMT417 showed strong negative interactions (r&lt; -0.7) with 31, 21, 9, and 18 up-regulated proteins, respectively. In contrast the down-regulated proteins did not show strong interactions with the regulated bacteria. The present study identified the proteomic and intra-tissue microbiome profile of human gingiva by employing a PCT-assisted workflow. This is the first report demonstrating the feasibility to analyse full proteome profiles of gingival tissues in both healthy and disease sites, while deciphering the tissue site-specific microbiome signatures.</t>
  </si>
  <si>
    <t>[Bao, Kai; Bostanci, Nagihan; Belibasakis, Georgios N.] Karolinska Inst, Div Oral Dis, Dept Dent Med, Huddinge, Sweden; [Li, Xiaofei; Hajishengallis, George] Sch Dent Med, Dept Basic &amp; Translat Sci, Philadelphia, PA USA; [Poveda, Lucy; Qi, Weihong; Grossmann, Jonas] Swiss Fed Inst Technol, Funct Genom Ctr, Zurich, Switzerland; [Poveda, Lucy; Qi, Weihong; Grossmann, Jonas] Univ Zurich, Zurich, Switzerland; [Selevsek, Nathalie] Swiss Integrat Ctr Human Hlth, Fribourg, Switzerland; [Gumus, Pinar; Emingil, Gulnur] Ege Univ, Sch Dent, Dept Periodontol, Izmir, Turkey; [Diaz, Patricia I.] SUNY Buffalo, Univ Buffalo, Dept Oral Biol, Buffalo, NY USA</t>
  </si>
  <si>
    <t>Karolinska Institutet; University of Pennsylvania; ETH Zurich; University of Zurich; Ege University; State University of New York (SUNY) System; State University of New York (SUNY) Buffalo</t>
  </si>
  <si>
    <t>Bao, K; Belibasakis, GN (corresponding author), Karolinska Inst, Div Oral Dis, Dept Dent Med, Huddinge, Sweden.</t>
  </si>
  <si>
    <t>kai.bao@ki.se; george.belibasakis@ki.se</t>
  </si>
  <si>
    <t>Qi, Weihong/ABC-7380-2021; Belibasakis, Georgios/AAL-3159-2020; Bostanci, Nagihan/ABD-5524-2020; Bao, Kai/S-4223-2017</t>
  </si>
  <si>
    <t>Belibasakis, Georgios/0000-0002-8164-0653; Bostanci, Nagihan/0000-0002-6742-3556; Bao, Kai/0000-0002-1183-5607; Qi, Weihong/0000-0001-8581-908X; Poveda, Lucy/0000-0002-5291-5582</t>
  </si>
  <si>
    <t>10.3389/fcimb.2020.588155</t>
  </si>
  <si>
    <t>WOS:000577466000001</t>
  </si>
  <si>
    <t>Klupp, BG; Granzow, H; Mettenleiter, TC</t>
  </si>
  <si>
    <t>Primary envelopment of pseudorabies virus at the nuclear membrane requires the UL34 gene product</t>
  </si>
  <si>
    <t>HERPES-SIMPLEX VIRUS; VARICELLA-ZOSTER VIRUS; TRANS-GOLGI NETWORK; COMPLETE DNA-SEQUENCE; ENDOPLASMIC-RETICULUM; BOVINE HERPESVIRUS-1; GLYCOPROTEIN-GII; PROTEIN-KINASE; CELL-SURFACE; UL20 GENE</t>
  </si>
  <si>
    <t>Primary envelopment of several herpesviruses has been shown to occur by budding of intranuclear capsids through the inner nuclear membrane. By subsequent fusion of the primary envelope with the outer nuclear membrane, capsids are released into the cytoplasm and gain their final envelope by budding into vesicles in the trans-Golgi area. We show here that the product of the UL34 gene of pseudorabies virus, an alphaherpesvirus of swine, is localized in transfected and infected cells in the nuclear membrane. It is also detected in the envelope of virions in the perinuclear space but is undetectable in intracytoplasmic and extracellular enveloped virus particles. Conversely, the tegument protein UL49 is present in mature virus particles and absent from perinuclear virions. In the absence of the UL34 protein, acquisition of the primary envelope is blocked and neither virus particles in the perinuclear space nor intracytoplasmic capsids or virions are observed. However, light particles which label with the anti-UL49 serum are formed in the cytoplasm. We conclude that the UL34 protein is required for primary envelopment, that the primary envelope is biochemically different from the final envelope in that it contains the UL34 protein, and that perinuclear virions lack the tegument protein UL49, which is present in mature virions. Thus, we provide additional evidence for a two-step envelopment process in herpesviruses.</t>
  </si>
  <si>
    <t>Fed Res Ctr Virus Dis Anim, Friedrich Loeffler Inst, Inst Mol Biol, D-17498 Insel Riems, Germany; Fed Res Ctr Virus Dis Anim, Friedrich Loeffler Inst, Inst Infectol, D-17498 Insel Riems, Germany</t>
  </si>
  <si>
    <t>Friedrich Loeffler Institute; Friedrich Loeffler Institute</t>
  </si>
  <si>
    <t>Mettenleiter, TC (corresponding author), Fed Res Ctr Virus Dis Anim, Friedrich Loeffler Inst, Inst Mol Biol, D-17498 Insel Riems, Germany.</t>
  </si>
  <si>
    <t>mettenleiter@rie.bfav.de</t>
  </si>
  <si>
    <t>Mettenleiter, h. c. Thomas C./U-1016-2019</t>
  </si>
  <si>
    <t>1098-5514</t>
  </si>
  <si>
    <t>10.1128/JVI.74.21.10063-10073.2000</t>
  </si>
  <si>
    <t>WOS:000089819900029</t>
  </si>
  <si>
    <t>Jiang, YJ; Bikle, DD</t>
  </si>
  <si>
    <t>Jiang, Yan J.; Bikle, Daniel D.</t>
  </si>
  <si>
    <t>LncRNA: a new player in 1 alpha, 25(OH)(2) vitamin D-3/VDR protection against skin cancer formation</t>
  </si>
  <si>
    <t>EXPERIMENTAL DERMATOLOGY</t>
  </si>
  <si>
    <t>lncRNA; skin cancer; vitamin D signalling</t>
  </si>
  <si>
    <t>LONG NONCODING RNA; D-RECEPTOR; CELL-PROLIFERATION; INDUCED TUMORIGENESIS; TUMOR-FORMATION; BREAST-CANCER; METASTASIS; SRA; P53; TRANSLOCATION</t>
  </si>
  <si>
    <t>Sunlight, vitamin D and skin cancer form a controversial brew. While too much sunlight exposure causes skin cancer, it is the major source of vitamin D from skin. We propose that these processes can be balanced. Vitamin D signalling (VDS) protects against skin cancer as demonstrated by the susceptibility of the skin to tumor formation in VDR null mice and protection from UVB-induced mutations when VDR agonists are administered. The question is how is protection afforded. Previously, we have focused on the Wnt/beta-catenin/hedgehog and DNA damage repair (DDR) pathways. As VDR regulates hundreds of genes with thousands of VDR response elements (VDRE) throughout the genome, and many VDREs are in non-coding regions, we decided to explore long non-coding RNAs (lncRNA). LncRNAs are mRNA-like transcripts ranging from 200 bases similar to 100 kb lacking significant open reading frames. They are aberrantly expressed in human cancers and involved in a spectrum of tumorigenic/metastatic processes (cell proliferation/apoptosis/angiogenesis). We discovered that VDS regulated the expression of certain lncRNAs in a manner consistent with VDS protection against skin cancer. Given the huge variation in genes actively regulated by 1,25(OH)(2)D from different cell types, it is conceivable that our results could apply to personalized medicine based on the distinctive lncRNA profiles. These lncRNAs could also serve as skin cancer biomarkers secreted into the blood or urine via exosomes as demonstrated in other cancer types (breast, prostate). Modulation of lncRNA profile by VDS may also provide insight into regulating pathways such as Wnt/beta-catenin and hedgehog.</t>
  </si>
  <si>
    <t>[Jiang, Yan J.; Bikle, Daniel D.] UCSF, VAMC, Dept Med, NCIRE,Endocrine Res Unit 111N, San Francisco, CA 94121 USA</t>
  </si>
  <si>
    <t>Northern California Institute for Research &amp; Education; University of California System; University of California San Francisco</t>
  </si>
  <si>
    <t>Jiang, YJ (corresponding author), UCSF, VAMC, Dept Med, NCIRE,Endocrine Res Unit 111N, 4150 Clement St, San Francisco, CA 94121 USA.</t>
  </si>
  <si>
    <t>yan.jiang@med.va.gov</t>
  </si>
  <si>
    <t>0906-6705</t>
  </si>
  <si>
    <t>1600-0625</t>
  </si>
  <si>
    <t>10.1111/exd.12341</t>
  </si>
  <si>
    <t>WOS:000332335500330</t>
  </si>
  <si>
    <t>Kalvala, A; Wallet, P; Yang, L; Wang, CK; Li, HQ; Nam, A; Nathan, A; Mambetsariev, I; Poroyko, V; Gao, HL; Chu, PG; Sattler, M; Bild, A; Manuel, ER; Lee, PP; Jolly, MK; Kulkarni, P; Salgia, R</t>
  </si>
  <si>
    <t>Kalvala, Arjun; Wallet, Pierre; Yang, Lu; Wang, Chongkai; Li, Haiqing; Nam, Arin; Nathan, Anusha; Mambetsariev, Isa; Poroyko, Valeriy; Gao, Hanlin; Chu, Peiguo; Sattler, Martin; Bild, Andrea; Manuel, Edwin R.; Lee, Peter P.; Jolly, Mohit Kumar; Kulkarni, Prakash; Salgia, Ravi</t>
  </si>
  <si>
    <t>Phenotypic Switching of Naive T Cells to Immune-Suppressive Treg-Like Cells by Mutant KRAS</t>
  </si>
  <si>
    <t>KRAS; cell-extrinsic; Tregs; lung cancer; FOXP3; phenotypic switching</t>
  </si>
  <si>
    <t>FOXP3 EXPRESSION; CONVERSION; ROLES; RAS; DNA</t>
  </si>
  <si>
    <t>Oncogenic (mutant) Ras protein Kirsten rat sarcoma viral oncogene homolog (KRAS) promotes uncontrolled proliferation, altered metabolism, and loss of genome integrity in a cell-intrinsic manner. Here, we demonstrate that CD4(+) T cells when incubated with tumor-derived exosomes from mutant (MT) KRAS non-small-cell lung cancer (NSCLC) cells, patient sera, or a mouse xenograft model, induce phenotypic conversion to FOXP3(+) Treg-like cells that are immune-suppressive. Furthermore, transfecting T cells with MT KRAS cDNA alone induced phenotypic switching and mathematical modeling supported this conclusion. Single-cell sequencing identified the interferon pathway as the mechanism underlying the phenotypic switch. These observations highlight a novel cytokine-independent, cell-extrinsic role for KRAS in T cell phenotypic switching. Thus, targeting this new class of Tregs represents a unique therapeutic approach for NSCLC. Since KRAS is the most frequently mutated oncogene in a wide variety of cancers, the findings of this investigation are likely to be of broad interest and have a large scientific impact.</t>
  </si>
  <si>
    <t>[Kalvala, Arjun; Wallet, Pierre; Wang, Chongkai; Nam, Arin; Nathan, Anusha; Mambetsariev, Isa; Poroyko, Valeriy; Bild, Andrea; Kulkarni, Prakash; Salgia, Ravi] City Hope Natl Med Ctr, Dept Med Oncol &amp; Therapeut Res, Duarte, CA 91010 USA; [Yang, Lu] City Hope Natl Med Ctr, Dept Syst Biol, Beckman Res Inst, Duarte, CA 91010 USA; [Li, Haiqing] City Hope Natl Med Ctr, Ctr Informat, Duarte, CA 91010 USA; [Li, Haiqing] City Hope Natl Med Ctr, Beckman Res Inst, Dept Computat &amp; Quantitat Med, Duarte, CA 91010 USA; [Gao, Hanlin] Fulgent Genet, 4978 Santa Anita Ave, Temple City, CA 91780 USA; [Chu, Peiguo] City Hope Natl Med Ctr, Dept Pathol, Duarte, CA 91010 USA; [Sattler, Martin] Dana Farber Canc Inst, Dept Med Oncol, Boston, MA 02215 USA; [Sattler, Martin] Harvard Med Sch, Dept Med, Boston, MA 02115 USA; [Manuel, Edwin R.] City Hope Natl Med Ctr, Dept Hematol &amp; Hematopoiet Cell Transplantat, Duarte, CA 91010 USA; [Lee, Peter P.] City Hope Natl Med Ctr, Dept Immunooncol, Duarte, CA 91010 USA; [Jolly, Mohit Kumar] Indian Inst Sci, Ctr BioSyst Sci &amp; Engn, Bangalore 560012, Karnataka, India</t>
  </si>
  <si>
    <t>City of Hope; City of Hope; Beckman Research Institute of City of Hope; City of Hope; City of Hope; Beckman Research Institute of City of Hope; City of Hope; Harvard University; Dana-Farber Cancer Institute; Harvard University; Harvard Medical School; City of Hope; City of Hope; Indian Institute of Science (IISC) - Bangalore</t>
  </si>
  <si>
    <t>Salgia, R (corresponding author), City Hope Natl Med Ctr, Dept Med Oncol &amp; Therapeut Res, Duarte, CA 91010 USA.</t>
  </si>
  <si>
    <t>akalvala@coh.org; pwallet@coh.org; luyang@coh.org; chowang@coh.org; hali@coh.org; anam@coh.org; anathan@coh.org; Imambetsariev@coh.org; vporoyko@coh.org; harrygao@fulgentgenetics.com; PChu@coh.org; Martin_Sattler@dfci.harvard.edu; abild@coh.org; EManuel@coh.org; plee@coh.org; mkjolly.15@gmail.com; pkulkarni@coh.org; rsalgia@coh.org</t>
  </si>
  <si>
    <t>Jolly, Mohit Kumar/A-1826-2014</t>
  </si>
  <si>
    <t>Jolly, Mohit Kumar/0000-0002-6631-2109; Lee, Peter P./0000-0002-2660-4377; Nathan, Anusha/0000-0002-4418-1005</t>
  </si>
  <si>
    <t>10.3390/jcm8101726</t>
  </si>
  <si>
    <t>WOS:000498398500224</t>
  </si>
  <si>
    <t>Khoontawad, J; Pairojkul, C; Rucksaken, R; Pinlaor, P; Wongkham, C; Yongvanit, P; Pugkhem, A; Jones, A; Plieskatt, J; Potriquet, J; Bethony, J; Pinlaor, S; Mulvenna, J</t>
  </si>
  <si>
    <t>Khoontawad, Jarinya; Pairojkul, Chawalit; Rucksaken, Rucksak; Pinlaor, Porntip; Wongkham, Chaisiri; Yongvanit, Puangrat; Pugkhem, Ake; Jones, Alun; Plieskatt, Jordan; Potriquet, Jeremy; Bethony, Jeffery; Pinlaor, Somchai; Mulvenna, Jason</t>
  </si>
  <si>
    <t>Differential Protein Expression Marks the Transition From Infection With Opisthorchis viverrini to Cholangiocarcinoma</t>
  </si>
  <si>
    <t>LIVER FLUKE; PROTEOMIC IDENTIFICATION; POTENTIAL BIOMARKER; STATISTICAL-MODEL; CANCER-CELLS; DNA-DAMAGE; EXOSOMES; HAMSTERS; FIBROSIS; PLASMA</t>
  </si>
  <si>
    <t>Parts of Southeast Asia have the highest incidence of intrahepatic cholangiocarcinoma (CCA) in the world because of infection by the liver fluke Opisthorchis viverrini (Ov). Ov-associated CCA is the culmination of chronic Ov-infection, with the persistent production of the growth factors and cytokines associated with persistent inflammation, which can endure for years in Ov-infected individuals prior to transitioning to CCA. Isobaric labeling and tandem mass spectrometry of liver tissue from a hamster model of CCA was used to compare protein expression profiles from inflammed tissue (Ovinfected but not cancerous) versus cancerous tissue (Ov-induced CCA). Immunohistochemistry and immunoblotting were used to verify dysregulated proteins in the animal model and in human tissue. We identified 154 dysregulated proteins that marked the transition from Ov-infection to Ov-induced CCA, i.e. proteins dysregulated during carcinogenesis but not Ov-infection. The verification of dysregulated proteins in resected liver tissue from humans with Ov-associated CCA showed the numerous parallels in protein dysregulation between human and animal models of Ov-induced CCA. To identify potential circulating markers for CCA, dysregulated proteins were compared with proteins isolated from exosomes secreted by a human CCA cell line (KKU055) and 27 proteins were identified as dysregulated in CCA and present in exosomes. These data form the basis of potential diagnostic biomarkers for human Ov-associated CCA. The profile of protein dysregulation observed during chronic Ovinfection and then in Ov-induced CCA provides insight into the etiology of an infection-induced inflammation-related cancer.</t>
  </si>
  <si>
    <t>[Khoontawad, Jarinya; Pinlaor, Somchai] Khon Kaen Univ, Dept Parasitol, Fac Med, Khon Kaen 40002, Thailand; [Khoontawad, Jarinya; Pairojkul, Chawalit; Pinlaor, Porntip; Wongkham, Chaisiri; Yongvanit, Puangrat; Pugkhem, Ake; Pinlaor, Somchai] Khon Kaen Univ, Liver Fluke &amp; Cholangiocarcinoma Res Ctr, Fac Med, Khon Kaen 40002, Thailand; [Khoontawad, Jarinya] Rajamangala Univ Technol Isan, Fac Nat Resources, Dept Thai Tradit Med, SakonNakhon Campus, Songkhla, Thailand; [Pairojkul, Chawalit] Khon Kaen Univ, Dept Pathol, Fac Med, Khon Kaen 40002, Thailand; [Rucksaken, Rucksak] Kasetsart Univ, Fac Vet Technol, Dept Vet Technol, Bangkok 10900, Thailand; [Pinlaor, Porntip] Khon Kaen Univ, Fac Associated Med Sci, Ctr Res &amp; Dev, Med Diagnost Lab, Khon Kaen 40002, Thailand; [Wongkham, Chaisiri; Yongvanit, Puangrat] Khon Kaen Univ, Dept Biochem, Fac Med, Khon Kaen 40002, Thailand; [Pugkhem, Ake] Khon Kaen Univ, Dept Surg, Fac Med, Khon Kaen 40002, Thailand; [Jones, Alun] Univ Queensland, Inst Mol Biosci, Brisbane, Qld 4072, Australia; [Plieskatt, Jordan; Bethony, Jeffery] George Washington Univ, Sch Med &amp; Hlth Sci, Dept Microbiol Immunol &amp; Trop Med, Washington, DC 20052 USA; [Plieskatt, Jordan; Bethony, Jeffery] George Washington Univ, Sch Med &amp; Hlth Sci, Res Ctr Neglected Dis Poverty, Washington, DC 20052 USA; [Potriquet, Jeremy; Mulvenna, Jason] QIMR Berghofer Med Res Inst, Program Infect Dis, Brisbane, Qld 4006, Australia; [Mulvenna, Jason] Univ Queensland, Sch Biomed Sci, Brisbane, Qld 4072, Australia</t>
  </si>
  <si>
    <t>Khon Kaen University; Khon Kaen University; Rajamangala University of Technology; Khon Kaen University; Kasetsart University; Khon Kaen University; Khon Kaen University; Khon Kaen University; University of Queensland; George Washington University; George Washington University; QIMR Berghofer Medical Research Institute; University of Queensland</t>
  </si>
  <si>
    <t>Mulvenna, J (corresponding author), QIMR Berghofer Med Res Inst, Dept Infect Dis, Brisbane, Qld 4006, Australia.</t>
  </si>
  <si>
    <t>Jason.Mulvenna@qimrberghofer.edu.au</t>
  </si>
  <si>
    <t>Pinlaor, Somchai/0000-0002-8187-7247; Plieskatt, Jordan/0000-0002-2333-7234</t>
  </si>
  <si>
    <t>1535-9476</t>
  </si>
  <si>
    <t>10.1074/mcp.M116.064576</t>
  </si>
  <si>
    <t>WOS:000400759600015</t>
  </si>
  <si>
    <t>Muller, JA; Harms, M; Kruger, F; Gross, R; Joas, S; Hayn, M; Dietz, AN; Lippold, S; von Einem, J; Schubert, A; Michel, M; Mayer, B; Cortese, M; Jang, KS; Sandi-Monroy, N; Deniz, M; Ebner, F; Vapalahti, O; Otto, M; Bartenschlager, R; Herbeuval, JP; Schmidt-Chanasit, J; Roan, NR; Munch, J</t>
  </si>
  <si>
    <t>Mueller, Janis A.; Harms, Mirja; Krueger, Franziska; Gross, Ruediger; Joas, Simone; Hayn, Manuel; Dietz, Andrea N.; Lippold, Sina; von Einem, Jens; Schubert, Axel; Michel, Manuela; Mayer, Benjamin; Cortese, Mirko; Jang, Karen S.; Sandi-Monroy, Nathallie; Deniz, Miriam; Ebner, Florian; Vapalahti, Olli; Otto, Markus; Bartenschlager, Ralf; Herbeuval, Jean-Philippe; Schmidt-Chanasit, Jonas; Roan, Nadia R.; Muench, Jan</t>
  </si>
  <si>
    <t>Semen inhibits Zika virus infection of cells and tissues from the anogenital region</t>
  </si>
  <si>
    <t>WEST NILE VIRUS; SEXUAL TRANSMISSION; SEMINAL PLASMA; AMYLOID FIBRILS; PREVENTION; DIAGNOSIS; OUTBREAK; BIOLOGY; BORNE</t>
  </si>
  <si>
    <t>Zika virus (ZIKV) causes severe birth defects and can be transmitted via sexual intercourse. Semen from ZIKV-infected individuals contains high viral loads and may therefore serve as an important vector for virus transmission. Here we analyze the effect of semen on ZIKV infection of cells and tissues derived from the anogenital region. ZIKV replicates in all analyzed cell lines, primary cells, and endometrial or vaginal tissues. However, in the presence of semen, infection by ZIKV and other flaviviruses is potently inhibited. We show that semen prevents ZIKV attachment to target cells, and that an extracellular vesicle preparation from semen is responsible for this anti-ZIKV activity. Our findings suggest that ZIKV transmission is limited by semen. As such, semen appears to serve as a protector against sexual ZIKV transmission, despite the availability of highly susceptible cells in the anogenital tract and high viral loads in this bodily fluid.</t>
  </si>
  <si>
    <t>[Mueller, Janis A.; Harms, Mirja; Krueger, Franziska; Gross, Ruediger; Joas, Simone; Hayn, Manuel; Sandi-Monroy, Nathallie; Muench, Jan] Ulm Univ, Inst Mol Virol, Med Ctr, D-89081 Ulm, Germany; [Dietz, Andrea N.; Lippold, Sina; von Einem, Jens; Schubert, Axel; Michel, Manuela] Ulm Univ, Inst Virol, Med Ctr, D-89081 Ulm, Germany; [Mayer, Benjamin] Ulm Univ, Inst Epidemiol &amp; Med Biometry, D-89075 Ulm, Germany; [Cortese, Mirko; Bartenschlager, Ralf] Heidelberg Univ, Fac Med, Dept Infect Dis, Mol Virol, D-69120 Heidelberg, Germany; [Jang, Karen S.; Roan, Nadia R.] Gladstone Inst Virol &amp; Immunol, San Francisco, CA 94158 USA; [Jang, Karen S.; Roan, Nadia R.] Univ Calif San Francisco, Dept Urol, San Francisco, CA 94158 USA; [Deniz, Miriam; Ebner, Florian] Ulm Univ, Klin Frauenheilkunde &amp; Geburtshilfe, Med Ctr, D-89081 Ulm, Germany; [Ebner, Florian] Helios Amper Klin, Frauenklin, D-85221 Dachau, Germany; [Vapalahti, Olli] Univ Helsinki, Dept Virol &amp; Immunol, FIN-00014 Helsinki, Finland; [Vapalahti, Olli] Helsinki Univ Hosp, Helsinki 00014, Finland; [Vapalahti, Olli] Univ Helsinki, Dept Vet Biosci, FIN-00014 Helsinki, Finland; [Otto, Markus] Ulm Univ, Dept Neurol, D-89081 Ulm, Germany; [Bartenschlager, Ralf] Heidelberg Univ, German Ctr Infect Res DZIF, Heidelberg Partner Site, D-69120 Heidelberg, Germany; [Herbeuval, Jean-Philippe] Univ Paris 05, Lab Chim &amp; Biochim Pharmacol &amp; Toxicol, Chem Biol Modeling &amp; Immunotherapy CBMIT, CNRS,UMR8601,CICB Paris, F-75006 Paris, France; [Schmidt-Chanasit, Jonas] World Hlth Org Collaborating Ctr Arbovirus &amp; Hemo, Bernhard Nocht Inst Trop Med, D-20359 Hamburg, Germany; [Schmidt-Chanasit, Jonas] German Ctr Infect Res DZIF, Partner Site Hamburg Luebeck Borstel, D-20359 Hamburg, Germany; [Muench, Jan] Ulm Univ, Med Ctr, Core Facil Funct Peptid, D-89081 Ulm, Germany</t>
  </si>
  <si>
    <t>Ulm University; Ulm University; Ulm University; Ruprecht Karls University Heidelberg; University of California System; University of California San Francisco; The J David Gladstone Institutes; University of California System; University of California San Francisco; Ulm University; University of Helsinki; University of Helsinki; Helsinki University Central Hospital; University of Helsinki; Ulm University; German Center for Infection Research; Ruprecht Karls University Heidelberg; Centre National de la Recherche Scientifique (CNRS); CNRS - Institute of Chemistry (INC); UDICE-French Research Universities; Universite de Paris; Bernhard Nocht Institut fur Tropenmedizin; World Health Organization; German Center for Infection Research; Ulm University</t>
  </si>
  <si>
    <t>Munch, J (corresponding author), Ulm Univ, Inst Mol Virol, Med Ctr, D-89081 Ulm, Germany.;Munch, J (corresponding author), Ulm Univ, Med Ctr, Core Facil Funct Peptid, D-89081 Ulm, Germany.</t>
  </si>
  <si>
    <t>jan.muench@uni-ulm.de</t>
  </si>
  <si>
    <t>von Einem, Jens/ABB-4480-2021; Herbeuval, Jean-Philippe/AHA-2439-2022; Müller, Janis/AAD-5953-2022; Cortese, Mirko/T-4742-2019; Otto, Markus/F-4304-2015</t>
  </si>
  <si>
    <t>von Einem, Jens/0000-0001-7508-4702; Cortese, Mirko/0000-0003-1786-4211; Otto, Markus/0000-0003-4273-4267; Jan, Munch/0000-0001-7316-7141; Vapalahti, Olli/0000-0003-2270-6824; , Nathallie/0000-0001-5457-1448; Harms, Mirja/0000-0002-5460-5166; Gross, Rudiger/0000-0003-0355-7915</t>
  </si>
  <si>
    <t>10.1038/s41467-018-04442-y</t>
  </si>
  <si>
    <t>WOS:000434379800004</t>
  </si>
  <si>
    <t>LEMAY, J; GASCONBARRE, M</t>
  </si>
  <si>
    <t>RESPONSIVENESS OF THE INTESTINAL 1,25-DIHYDROXYVITAMIN-D3 RECEPTOR TO MAGNESIUM DEPLETION IN THE RAT</t>
  </si>
  <si>
    <t>ENDOCRINOLOGY</t>
  </si>
  <si>
    <t>DIETARY CALCIUM RESTRICTION; BORDER MEMBRANE-VESICLES; VITAMIN-D RECEPTOR; DEFICIENCY; TRANSPORT; QUANTITATION; METABOLISM; CALCIFEROL; FLUIDITY; EXCESS</t>
  </si>
  <si>
    <t>In contrast to man, the rat exhibits hypercalcemia during the course of magnesium depletion. To investigate the role of the vitamin D (D) endocrine system in the induction of hypercalcemia, circulating D metabolites, the binding properties of the duodenal 1,25-dihydroxyvitamin D3 [1,25(OH)2D3] receptor (VDR), and Ca-45 transport studies were undertaken in magnesium-replete rats or after 10 days of magnesium depletion in animals presenting the following D status: D depletion and hypo- or normocalcemia (achieved by oral calcium supplementation), D3 or 1,25-(OH)2D3 repletion. Magnesium depletion did not influence serum calcium in hypo- or normocalcemic D depleted rats, but increased serum calcium in animals receiving D3 (P &lt; 0.002) or 1,25-(OH)2D3 (P &lt; 0.0001), suggesting that the D3 endocrine system is necessary to mediate the rise in extracellular calcium and that dietary calcium alone is not sufficient to significantly increase extracellular calcium in the hypomagnesemic rat. The data also show that 25-hydroxyvitamin D formation was not perturbed, but circulating 1,25-(OH)2D3 concentrations were reduced by 10 days of magnesium depletion (P &lt; 0.0001) even in animals infused with 1,25-(OH)2D3, suggesting increased clearance of the hormone. The kinetic data of the duodenal VDR revealed maximum binding sites ranging from 1018-1500 fmol/mg DNA and K(d) ranging from 0.17-0.38 nm, with no significant between-group difference in magnesium-sufficient animals. Ten days of magnesium depletion did not significantly influence VDR affinity in any of the groups, but significantly increased receptor number in hypocalcemic D-depleted rats from 1190 +/- 154 to 2748 +/- 430 fmol/mg DNA (P &lt; 0.004). Calcium transport studies in D-replete animals indicate that intestinal calcium transport is influenced by the progressive depletion in magnesium, with time-related increases coinciding with the in vivo increase in circulating ionized calcium (day 6 of magnesium depletion). However, despite persistent elevated serum ionized calcium, calcium transport declined only to predepletion levels on days 8 and 10 of magnesium depletion. To investigate the influence of the D3 endocrine system on Ca-45 absorption, D-depleted rats sufficient or depleted in magnesium were injected with 1,25-(OH)2D3, either acutely (to reveal its membrane effects) or 16 and 5 h before death (to reveal its genomic effect). The data reveal a reduced response in magnesium-depleted rats to acute 1,25-(OH)2D3 injection (P &lt; 0.0002), but similar responses when the hormone was injected 16 and 5 h before the experiment. In conclusion, our studies point to the participation of the D endocrine system in the induction of the hypercalcemia of magnesium deficiency, as illustrated by an upregulation of apparent VDR number secondary to combined calcium-magnesium-D depletion. In addition, calcium transport studies demonstrate time-related modulations in calcium absorption during the course of magnesium depletion, resulting in inappropriately high calcium absorption in the face of hypercalcemia, while studies on the role of 1,25-(OH)2D3 suggest a genomically, rather than a membrane-related, mode of action on the absorption of calcium in the magnesium depletion state in the rat.</t>
  </si>
  <si>
    <t>HOP ST LUC,CTR RECH CLIN ANDRE VIALLET,264 RENE LEVESQUE BLVD E,MONTREAL H2X 1P1,QUEBEC,CANADA; UNIV MONTREAL,FAC MED,DEPT PHARMACOL,MONTREAL H3C 3J7,QUEBEC,CANADA</t>
  </si>
  <si>
    <t>Universite de Montreal; Universite de Montreal</t>
  </si>
  <si>
    <t>0013-7227</t>
  </si>
  <si>
    <t>10.1210/en.130.5.2767</t>
  </si>
  <si>
    <t>WOS:A1992HR33900045</t>
  </si>
  <si>
    <t>PARKINSON, JE; SANDERSON, CM; SMITH, GL</t>
  </si>
  <si>
    <t>THE VACCINIA VIRUS A38L GENE-PRODUCT IS A 33-KDA INTEGRAL MEMBRANE GLYCOPROTEIN</t>
  </si>
  <si>
    <t>VIROLOGY</t>
  </si>
  <si>
    <t>NUCLEOTIDE-SEQUENCE; PROTEIN; ENVELOPE; DNA; EXPRESSION; DOMAINS; VECTORS; MARKER; GENOME; KBP</t>
  </si>
  <si>
    <t>The vaccinia virus gene A38L encodes a highly hydrophobic protein with amino acid similarity to mammalian integrin-associated protein (IAP). In this report we have identified the A38L protein of strain Western Reserve (WR), defined its membrane topology, and analyzed its role in virus production and virulence. An antiserum raised against an A38L peptide identified the A38L gene product as a 33-kDa protein which is expressed at low levels during virus infection. A serum from a rabbit previously infected with WR virus recognized the A38L protein, thus confirming that the A38L gene is expressed in vivo. Using a coupled in vitro-translation/membrane-translocation system the 33-kDa protein was shown to be a membrane-associated and glycosylated form of a 29-kDa polypeptide precursor. The membrane topology of the A38L protein was defined by its glycosylation and protease sensitivity when associated with microsomal membranes. The N-terminal immuno-globulin-like variable domain was protected from exogenous protease and was therefore in the lumen of the vesicle, whereas the C-terminus was sensitive and therefore cytoplasmic. A38L deletion and revertant viruses were constructed and were used to study the involvement of A38L in virus assembly, release, and virulence. Deletion of the A38L gene caused a slight reduction in virus plaque size but did not affect the production of intracellular mature virus or extracellular enveloped virus particles in tissue culture cells nor the virulence of the virus in the murine intranasal model. The A38L protein therefore possesses similar sequence and membrane topology to the mammalian IAP protein but is not required for virus particle production or virulence. (C) 1995 Academic Press, Inc.</t>
  </si>
  <si>
    <t>UNIV OXFORD,SIR WILLIAM DUNN SCH PATHOL,OXFORD OX1 3RE,ENGLAND</t>
  </si>
  <si>
    <t>University of Oxford</t>
  </si>
  <si>
    <t>Smith, Geoffrey L/G-2894-2012</t>
  </si>
  <si>
    <t>Smith, Geoffrey L/0000-0002-3730-9955</t>
  </si>
  <si>
    <t>0042-6822</t>
  </si>
  <si>
    <t>10.1006/viro.1995.9942</t>
  </si>
  <si>
    <t>WOS:A1995TK27400020</t>
  </si>
  <si>
    <t>van Koppen, A; Joles, JA; van Balkom, BWM; Lim, SK; de Kleijn, D; Giles, RH; Verhaar, MC</t>
  </si>
  <si>
    <t>van Koppen, Arianne; Joles, Jaap A.; van Balkom, Bas W. M.; Lim, Sai Kiang; de Kleijn, Dominique; Giles, Rachel H.; Verhaar, Marianne C.</t>
  </si>
  <si>
    <t>Human Embryonic Mesenchymal Stem Cell-Derived Conditioned Medium Rescues Kidney Function in Rats with Established Chronic Kidney Disease</t>
  </si>
  <si>
    <t>CHRONIC-RENAL-FAILURE; PHOSPHORYLATED HISTONE H2AX; ACUTE TUBULAR INJURY; STROMAL CELLS; NITRIC-OXIDE; EXPERIMENTAL GLOMERULONEPHRITIS; PARACRINE FACTORS; MODEL; PROTECT; SECRETION</t>
  </si>
  <si>
    <t>Chronic kidney disease (CKD) is a major health care problem, affecting more than 35% of the elderly population worldwide. New interventions to slow or prevent disease progression are urgently needed. Beneficial effects of mesenchymal stem cells (MSC) have been described, however it is unclear whether the MSCs themselves or their secretome is required. We hypothesized that MSC-derived conditioned medium (CM) reduces progression of CKD and studied functional and structural effects in a rat model of established CKD. CKD was induced by 5/6 nephrectomy (SNX) combined with L-NNA and 6% NaCl diet in Lewis rats. Six weeks after SNX, CKD rats received either 50 mu g CM or 50 mu g non-CM (NCM) twice daily intravenously for four consecutive days. Six weeks after treatment CM administration was functionally effective: glomerular filtration rate (inulin clearance) and effective renal plasma flow (PAH clearance) were significantly higher in CM vs. NCM-treatment. Systolic blood pressure was lower in CM compared to NCM. Proteinuria tended to be lower after CM. Tubular and glomerular damage were reduced and more glomerular endothelial cells were found after CM. DNA damage repair was increased after CM. MSC-CM derived exosomes, tested in the same experimental setting, showed no protective effect on the kidney. In a rat model of established CKD, we demonstrated that administration of MSC-CM has a long-lasting therapeutic rescue function shown by decreased progression of CKD and reduced hypertension and glomerular injury.</t>
  </si>
  <si>
    <t>[van Koppen, Arianne; Joles, Jaap A.; van Balkom, Bas W. M.; Giles, Rachel H.; Verhaar, Marianne C.] Univ Med Ctr Utrecht, Dept Hypertens &amp; Nephrol, Utrecht, Netherlands; [Lim, Sai Kiang] ASTAR, Inst Med Biol, Singapore, Singapore; [de Kleijn, Dominique] Univ Med Ctr Utrecht, Dept Expt Cardiol, Utrecht, Netherlands</t>
  </si>
  <si>
    <t>Utrecht University; Utrecht University Medical Center; Agency for Science Technology &amp; Research (ASTAR); Institute of Medical Biology (IMB); Utrecht University; Utrecht University Medical Center</t>
  </si>
  <si>
    <t>van Koppen, A (corresponding author), Univ Med Ctr Utrecht, Dept Hypertens &amp; Nephrol, Utrecht, Netherlands.</t>
  </si>
  <si>
    <t>m.c.verhaar@umcutrecht.nl</t>
  </si>
  <si>
    <t>Verhaar, Marianne/AAM-6788-2020; Joles, Jaap/AAX-3249-2020</t>
  </si>
  <si>
    <t>Verhaar, Marianne/0000-0002-3276-6428; van Koppen, Arianne/0000-0001-9588-8863; Giles, Rachel/0000-0001-9133-2008</t>
  </si>
  <si>
    <t>JUN 19</t>
  </si>
  <si>
    <t>e38746</t>
  </si>
  <si>
    <t>10.1371/journal.pone.0038746</t>
  </si>
  <si>
    <t>WOS:000305652700025</t>
  </si>
  <si>
    <t>Berry, LJ; Hickey, DK; Skelding, KA; Bao, S; Rendina, AM; Hansbro, PM; Gockel, CM; Beagley, KW</t>
  </si>
  <si>
    <t>Transcutaneous immunization with combined cholera toxin and CpG adjuvant protects against Chlamydia muridarum genital tract infection</t>
  </si>
  <si>
    <t>INFECTION AND IMMUNITY</t>
  </si>
  <si>
    <t>OUTER-MEMBRANE PROTEIN; GENE KNOCKOUT MICE; CYTOTOXIC T-LYMPHOCYTES; MONOCLONAL-ANTIBODIES; IMMUNE-RESPONSES; MUCOSAL IMMUNITY; BACTERIAL-DNA; CD8(+) CTLS; GUINEA-PIGS; IN-VITRO</t>
  </si>
  <si>
    <t>Chlamydia trachomatis is a pathogen of the genital tract and ocular epithelium. Infection is established by the binding of the metabolically inert elementary body (EB) to epithelial cells. These are taken up by endocytosis into a membrane-bound vesicle termed an inclusion. The inclusion avoids fusion with host lysosomes, and the EBs differentiate into the metabolically active reticulate body (RB), which replicates by binary fission within the protected environment of the inclusion. During the extracellular EB stage of the C. trachomatis life cycle, antibody present in genital tract or ocular secretions can inhibit infection both in vivo and in tissue culture. The RB, residing within the intracellular inclusion, is not accessible to antibody, and resolution of infection at this stage requires a cell-mediated immune response mediated by gamma interferon-secreting Th1 cells. Thus, an ideal vaccine to protect against C trachomatis genital tract infection should induce both antibody (immunoglobulin A [IgA] and IgG) responses in mucosal secretions to prevent infection by chlamydial EB and a strong Th1 response to limit ascending infection to the uterus and fallopian tubes. In the present study we show that transcutaneous immunization with major outer membrane protein (MOMP) in combination with both cholera toxin and CpG oligodeoxynucleotides elicits MOMP-specific IgG and IgA in vaginal and uterine lavage fluid, MOMP-specific IgG in serum, and gamma interferon-secreting T cells in reproductive tract-draining caudal and lumbar lymph nodes. This immunization protocol resulted in enhanced clearance of C. muridarum (C. trachomatis, mouse pneumonitis strain) following intravaginal challenge of BALB/c mice.</t>
  </si>
  <si>
    <t>Univ Newcastle, Fac Hlth, Sch Biomed Sci, Discipline Immunol &amp; Microbiol, Callaghan, NSW 2308, Australia; Univ Newcastle, Sch Environm &amp; Life Sci, Fac Sci &amp; Informat Technol, Newcastle, NSW 2308, Australia; Hunter Med Res Inst, Newcastle, NSW 2308, Australia; Univ Sydney, Dept Pathol, Sydney, NSW 2006, Australia; SUNY Buffalo, Dept Microbiol, Buffalo, NY USA</t>
  </si>
  <si>
    <t>University of Newcastle; University of Newcastle; Hunter Medical Research Institute; University of Newcastle; University of Sydney; State University of New York (SUNY) System; State University of New York (SUNY) Buffalo</t>
  </si>
  <si>
    <t>Beagley, KW (corresponding author), Univ Newcastle, Fac Hlth, Sch Biomed Sci, Discipline Immunol &amp; Microbiol, Callaghan, NSW 2308, Australia.</t>
  </si>
  <si>
    <t>Ken.Beagley@newcastle.edu.au</t>
  </si>
  <si>
    <t>Bao, Shisan/C-6072-2014; Bao, Shisan/AAF-6464-2020; Hickey, Danica/E-6522-2013; Beagley, Kenneth/J-1129-2012; Skelding, Kathryn ANNE/G-7958-2013; Hansbro, Phil/G-7486-2013</t>
  </si>
  <si>
    <t>Bao, Shisan/0000-0002-6687-3846; Beagley, Kenneth/0000-0003-3112-6557; Skelding, Kathryn ANNE/0000-0002-9230-3417; Hansbro, Phil/0000-0002-4741-3035; Hickey, Danica/0000-0001-9583-6262</t>
  </si>
  <si>
    <t>0019-9567</t>
  </si>
  <si>
    <t>1098-5522</t>
  </si>
  <si>
    <t>10.1128/IAI.72.2.1019-1028.2004</t>
  </si>
  <si>
    <t>Immunology; Infectious Diseases</t>
  </si>
  <si>
    <t>WOS:000188766400049</t>
  </si>
  <si>
    <t>Pineiro-Perez, R; Abal, M; Muinelo-Romay, L</t>
  </si>
  <si>
    <t>Pineiro-Perez, Raquel; Abal, Miguel; Muinelo-Romay, Laura</t>
  </si>
  <si>
    <t>Liquid Biopsy for Monitoring EC Patients: Towards Personalized Treatment</t>
  </si>
  <si>
    <t>personalized medicine; endometrial cancer; liquid biopsy; monitoring markers; therapy selection</t>
  </si>
  <si>
    <t>CIRCULATING TUMOR-CELLS; CLINICAL-PRACTICE GUIDELINES; ENDOMETRIAL CANCER; FREE DNA; DIAGNOSIS; MUTATIONS; RECURRENCE; PLASMA; IDENTIFICATION; SENSITIVITY</t>
  </si>
  <si>
    <t>Simple Summary Although the field of liquid biopsy is clearly having an effect on other tumour types, in endometrial cancer (EC) there is important work to do to implement the analysis of circulating biomarkers into the clinical routine. One of the most evident contexts of application is the disease follow-up in both localized and advanced diseases, which at present is primarily made by imaging techniques. In the present review, we conducted an overview of the circulating biomarkers with the potential to be used as monitoring biomarkers in endometrial tumours and highlighted the key challenges for their translation into the patients' management in order to help researchers to better focus their work in this field. Endometrial cancer (EC) is the most frequent gynecological cancer in developed countries and its incidence shows an increasing trend. Fortunately, the prognosis of the disease is good when the tumour is diagnosed in an early phase, but some patients recur after surgery and develop distant metastasis. The therapy options for EC for advanced disease are more limited than for other tumours. Therefore, the application of non-invasive strategies to anticipate the recurrence of localized tumours and guide the treatment in advanced stages represents a clear requirement to improve the survival and quality of life of patients with EC. To achieve this desired precision oncology, it is necessary to invest in the identification and validation of circulating markers that allow a more effective stratification and monitoring of patients. We here review the main advances made for the evaluation of circulating tumour DNA (ctDNA), circulating tumour cells (CTCs), circulating extracellular vesicles (cEVs), and other non-invasive biomarkers as a monitoring tool in the context of localized and advanced endometrial tumours, with the aim of providing a global perspective of the achievements and the key areas in which the use of these markers can be developed into a real clinical tool.</t>
  </si>
  <si>
    <t>[Pineiro-Perez, Raquel; Abal, Miguel; Muinelo-Romay, Laura] Univ Hosp Santiago de Compostela SERGAS, Hlth Res Inst Santiago de Compostela IDIS, Translat Med Oncol Grp Oncomet, Trav Choupana S-N, Santiago De Compostela 15706, Spain; [Abal, Miguel; Muinelo-Romay, Laura] Ctr Invest Biomed Red Canc CIBERONC, Monforte de Lemos 3-5, Madrid 28029, Spain</t>
  </si>
  <si>
    <t>Complexo Hospitalario Universitario de Santiago de Compostela; CIBER - Centro de Investigacion Biomedica en Red; CIBERONC</t>
  </si>
  <si>
    <t>Abal, M; Muinelo-Romay, L (corresponding author), Univ Hosp Santiago de Compostela SERGAS, Hlth Res Inst Santiago de Compostela IDIS, Translat Med Oncol Grp Oncomet, Trav Choupana S-N, Santiago De Compostela 15706, Spain.;Abal, M; Muinelo-Romay, L (corresponding author), Ctr Invest Biomed Red Canc CIBERONC, Monforte de Lemos 3-5, Madrid 28029, Spain.</t>
  </si>
  <si>
    <t>raquel.pineiro.perez@rai.usc.es; miguel.abal.posada@sergas.es; laura.muinelo.romay@sergas.es</t>
  </si>
  <si>
    <t>Abal Posada, Miguel/0000-0003-3533-7781; Pineiro Perez, Raquel/0000-0003-3237-2901</t>
  </si>
  <si>
    <t>10.3390/cancers14061405</t>
  </si>
  <si>
    <t>WOS:000776967100001</t>
  </si>
  <si>
    <t>JAROLIM, P; RUBIN, HL; LIU, SC; CHO, MR; BRABEC, V; DERICK, LH; YI, SJ; SAAD, STO; ALPER, S; BRUGNARA, C; GOLAN, DE; PALEK, J</t>
  </si>
  <si>
    <t>DUPLICATION OF 10 NUCLEOTIDES IN THE ERYTHROID BAND 3 (AE1) GENE IN A KINDRED WITH HEREDITARY SPHEROCYTOSIS AND BAND-3 PROTEIN-DEFICIENCY (BAND-3(PRAGUE))</t>
  </si>
  <si>
    <t>ERYTHROCYTE MEMBRANE BAND 3 PROTEIN; CONGENITAL HEMOLYTIC ANEMIA; FRAMESHIFT MUTATION; DENSITY GRADIENT CENTRIFUGATION; TRANSMISSION ELECTRON MICROSCOPY</t>
  </si>
  <si>
    <t>ANION-TRANSPORT PROTEIN; RED-BLOOD-CELLS; CYTOPLASMIC DOMAIN; MEMBRANE SKELETON; EXCHANGE PROTEIN; BINDING-SITE; SPECTRIN; ANKYRIN; DNA; POLYMORPHISMS</t>
  </si>
  <si>
    <t>We describe a duplication of 10 nucleotides (2,455-2,464) in the band 3 gene in a kindred with autosomal dominant hereditary spherocytosis and a partial deficiency of the band 3 protein that is reflected by decreased rate of transmembrane sulfate flux and decreased density of intramembrane particles. The mutant allele potentially encodes an abnormal band 3 protein with a 3.5-kD COOH-terminal truncation; however, we did not detect the mutant protein in the membrane of mature red blood cells. Since the mRNA levels for the mutant and normal alleles are similar and since the band 3 content is the same in the light and dense red cell fractions, we conclude that the mutant band 3 is either not inserted into the plasma membrane or lost from the membrane prior to the release of red blood cells into circulation. We further show that the decrease in band 3 content principally involves the dimeric laterally and rotationally mobile fraction of the band 3 protein, while the laterally immobile and rotationally restricted band 3 fraction is left essentially intact. We propose that the decreased density of intramembrane particles decreases the stability of the membrane lipid bilayer and causes release of lipid microvesicles that leads to surface area deficiency and spherocytosis.</t>
  </si>
  <si>
    <t>INST HEMATOL &amp; BLOOD TRANSFUS, PRAGUE 12820, CZECH REPUBLIC; HARVARD UNIV, SCH MED, DEPT BIOL CHEM &amp; MOLEC PHARMACOL, BOSTON, MA 02115 USA; HARVARD UNIV, SCH MED, DEPT MED, BOSTON, MA 02115 USA; BRIGHAM &amp; WOMENS HOSP, DIV HEMATOL ONCOL, BOSTON, MA 02115 USA; CHILDRENS HOSP, DEPT PATHOL, BOSTON, MA 02115 USA; CHILDRENS HOSP, CLIN LABS, BOSTON, MA 02115 USA; BETH ISRAEL HOSP, MOLEC MED &amp; RENAL UNIT, BOSTON, MA 02115 USA; HARVARD UNIV, SCH MED, DEPT CELLULAR &amp; MOLEC PHYSIOL, BOSTON, MA 02115 USA</t>
  </si>
  <si>
    <t>Institute of Hematology Prague; Harvard University; Harvard University; Harvard University; Brigham &amp; Women's Hospital; Harvard University; Boston Children's Hospital; Harvard University; Boston Children's Hospital; Harvard University; Beth Israel Deaconess Medical Center; Harvard University</t>
  </si>
  <si>
    <t>JAROLIM, P (corresponding author), TUFTS UNIV, ST ELIZABETHS HOSP, SCH MED, DEPT BIOMED RES, DIV HEMATOL ONCOL, BOSTON, MA 02135 USA.</t>
  </si>
  <si>
    <t>Brugnara, Carlo/A-8041-2010</t>
  </si>
  <si>
    <t>Brugnara, Carlo/0000-0001-8192-8713; Cho, Myoung Rae/0000-0002-8191-8045</t>
  </si>
  <si>
    <t>10.1172/JCI116935</t>
  </si>
  <si>
    <t>WOS:A1994MY15900018</t>
  </si>
  <si>
    <t>Casalena, GA; Yu, LP; Gil, R; Rodriguez, S; Sosa, S; Janssen, W; Azeloglu, EU; Leventhal, JS; Daehn, IS</t>
  </si>
  <si>
    <t>Casalena, Gabriella A.; Yu, Liping; Gil, Roberto; Rodriguez, Samuel; Sosa, Shantel; Janssen, William; Azeloglu, Evren U.; Leventhal, Jeremy S.; Daehn, Ilse S.</t>
  </si>
  <si>
    <t>The diabetic microenvironment causes mitochondrial oxidative stress in glomerular endothelial cells and pathological crosstalk with podocytes</t>
  </si>
  <si>
    <t>CELL COMMUNICATION AND SIGNALING</t>
  </si>
  <si>
    <t>Endothelial cells; Diabetes; Crosstalk; Podocytes; Mitochondria; ROS</t>
  </si>
  <si>
    <t>HIGH GLUCOSE; DNA-DAMAGE; KIDNEY-DISEASE; DYSFUNCTION; AUTOPHAGY; HYPERGLYCEMIA; MITOPHAGY; EXOSOMES; INJURY; NEPHROPATHY</t>
  </si>
  <si>
    <t>Background: In the setting of diabetes mellitus, mitochondrial dysfunction and oxidative stress are important pathogenic mechanisms causing end organ damage, including diabetic kidney disease (DKD), but mechanistic understanding at a cellular level remains obscure. In mouse models of DKD, glomerular endothelial cell (GEC) dysfunction precedes albuminuria and contributes to neighboring podocyte dysfunction, implicating GECs in breakdown of the glomerular filtration barrier. In the following studies we wished to explore the cellular mechanisms by which GECs become dysfunctional in the diabetic milieu, and the impact to neighboring podocytes. Methods: Mouse GECs were exposed to high glucose media (HG) or 2.5% v/v serum from diabetic mice or serum from non-diabetic controls, and evaluated for mitochondrial function (oxygen consumption), structure (electron microscopy), morphology (mitotracker), mitochondrial superoxide (mitoSOX), as well as accumulation of oxidized products (DNA lesion frequency (8-oxoG, endo-G), double strand breaks (gamma-H2AX), endothelial function (NOS activity), autophagy (LC3) and apoptotic cell death (Annexin/PI; caspase 3). Supernatant transfer experiments from GECs to podocytes were performed to establish the effects on podocyte survival and transwell experiments were performed to determine the effects in co-culture. Results: Diabetic serum specifically causes mitochondrial dysfunction and mitochondrial superoxide release in GECs. There is a rapid oxidation of mitochondrial DNA and loss of mitochondrial biogenesis without cell death. Many of these effects are blocked by mitoTEMPO a selective mitochondrial anti-oxidant. Secreted factors from dysfunctional GECs were sufficient to cause podocyte apoptosis in supernatant transfer experiments, or in co-culture but this did not occur when GECs had been previously treated with mitoTEMPO. Conclusion: Dissecting the impact of the diabetic environment on individual cell-types from the kidney glomerulus indicates that GECs become dysfunctional and pathological to neighboring podocytes by increased levels of mitochondrial superoxide in GEC. These studies indicate that GEC-signaling to podocytes contributes to the loss of the glomerular filtration barrier in DKD.</t>
  </si>
  <si>
    <t>[Casalena, Gabriella A.; Yu, Liping; Gil, Roberto; Rodriguez, Samuel; Sosa, Shantel; Azeloglu, Evren U.; Leventhal, Jeremy S.; Daehn, Ilse S.] Icahn Sch Med Mt Sinai, Dept Med, Div Nephrol, One Gustave Levy Pl,Box 1003, New York, NY 10029 USA; [Janssen, William] Icahn Sch Med Mt Sinai, Microscopy CoRE, New York, NY 10029 USA</t>
  </si>
  <si>
    <t>Icahn School of Medicine at Mount Sinai; Icahn School of Medicine at Mount Sinai</t>
  </si>
  <si>
    <t>Daehn, IS (corresponding author), Icahn Sch Med Mt Sinai, Dept Med, Div Nephrol, One Gustave Levy Pl,Box 1003, New York, NY 10029 USA.</t>
  </si>
  <si>
    <t>ilse.daehn@mssm.edu</t>
  </si>
  <si>
    <t>daehn, ilse/L-3883-2019</t>
  </si>
  <si>
    <t>daehn, ilse/0000-0001-9915-5376</t>
  </si>
  <si>
    <t>1478-811X</t>
  </si>
  <si>
    <t>JUL 8</t>
  </si>
  <si>
    <t>10.1186/s12964-020-00605-x</t>
  </si>
  <si>
    <t>WOS:000552058600002</t>
  </si>
  <si>
    <t>Lohmann, LJ; Strube, J</t>
  </si>
  <si>
    <t>Lohmann, Lara Julia; Strube, Jochen</t>
  </si>
  <si>
    <t>Accelerating Biologics Manufacturing by Modeling: Process Integration of Precipitation in mAb Downstream Processing</t>
  </si>
  <si>
    <t>PROCESSES</t>
  </si>
  <si>
    <t>biologics manufacturing; precipitation; QbD; process modeling; PAT; antibodies</t>
  </si>
  <si>
    <t>ANTIBODY EFFECTOR FUNCTIONS; POLYETHYLENE-GLYCOL; PROTEIN PRECIPITATION; PLASMA-PROTEINS; PURIFICATION; CHROMATOGRAPHY; GLYCOSYLATION; DESIGN; CRYSTALLIZATION; SEPARATION</t>
  </si>
  <si>
    <t>The demand on biologics has been constantly rising over the past decades and has become crucial in modern medicine. Promising approaches to cope with widespread diseases like cancer and diabetes are gene therapy, plasmid DNA, virus-like particles, and exosomes. Due to progress that has been made in upstream processing (USP), difficulties arise in downstream processing and demand for innovative solutions. This work focuses on the integration of precipitation using a quality by design (QbD) approach for process development. Selective precipitation is achieved with PEG 4000 resulting in an HCP depletion of &gt;= 80% respectively to IgG. Dissolution was executed with a sodium phosphate buffer (pH = 5/50 mM) reaching an IgG recovery of &gt;= 95%. However, the central challenge in process development is still an optimal process design, which is transferable for a broad molecular variety of new products. This is where rigorous modeling becomes vital in order to generate digital twins to support early-stage process development and reduce the experimental overhead. Therefore, a model development and validation concept for construction of a process model for precipitation is also presented.</t>
  </si>
  <si>
    <t>[Lohmann, Lara Julia; Strube, Jochen] Tech Univ Clausthal, Inst Separat &amp; Proc Technol, Leibnizstr 15, D-38678 Clausthal Zellerfeld, Germany</t>
  </si>
  <si>
    <t>TU Clausthal</t>
  </si>
  <si>
    <t>Strube, J (corresponding author), Tech Univ Clausthal, Inst Separat &amp; Proc Technol, Leibnizstr 15, D-38678 Clausthal Zellerfeld, Germany.</t>
  </si>
  <si>
    <t>lohmann@itv.tu-clausthal.de; strube@itv.tu-clausthal.de</t>
  </si>
  <si>
    <t>2227-9717</t>
  </si>
  <si>
    <t>10.3390/pr8010058</t>
  </si>
  <si>
    <t>Engineering, Chemical</t>
  </si>
  <si>
    <t>WOS:000516825300019</t>
  </si>
  <si>
    <t>Niu, LJ; Huang, T; Wang, LJ; Sun, XF; Zhang, YM</t>
  </si>
  <si>
    <t>Niu, Lian-Jie; Huang, Tao; Wang, Lianjiang; Sun, Xian-Fu; Zhang, Ya-Min</t>
  </si>
  <si>
    <t>HBX suppresses PTEN to promote the malignant progression of hepatocellular carcinoma through mi-R155 activation</t>
  </si>
  <si>
    <t>ANNALS OF HEPATOLOGY</t>
  </si>
  <si>
    <t>Exosome; HBx; microRNA-155; PTEN; Hepatocellular carcinoma; Progression</t>
  </si>
  <si>
    <t>Introduction and objectives: Hepatocellular carcinoma (HCC) is one of the most common and fatal tumors in the world, ranking third in cancer-related mortality. Chronic HBV infection is one of the major risk factors for hepatocellular carcinoma in China, Korea, and Sub-Saharan Africa. The HBx protein encoded by the X gene of HBV is a broadly regulated protein involved in transcriptional activation, epigenetics, apoptosis, DNA repair, and other regulatory processes. This study aimed to investigate the mechanism of HBx regulation of miR-155 and PTEN (Phosphatase and tensin homolog deleted on chromosome ten) in HBV-HCC. Methods: Exosomal miR-155 quantity was analyzed by sampling serum exosomes of patients with hepatocellular carcinoma and normal subjects. The analysis was divided into different subgroups according to HBV positivity or negativity. At the cellular level, the biological roles of HBX, microRNA-155 and PUN on hepatocellular carcinoma cells and their regulatory relationships with each other were verified. Results: MicroRNA-155 and PUN expression in HBV-positive HCC liver cancer tissues were negatively correlated, and HBX and miR-155 expression were positively correlated; microRNA-155 could target and inhibit PTEN expression, thereby promoting hepatocellular carcinoma cell activity, inhibiting apoptosis, and promoting invasion and migration; HBX could upregulate microRNA-155 thereby inhibit PUN to promote malignant transformation of hepatocellular carcinoma. Conclusions: HBX could promote malignant transformation of hepatocellular carcinoma cells by upregulating microRNA-155 expression and thereby inhibiting the PTEN/PI3K-AKT pathway. Blocking miR-155 expression could attenuate the proliferation-promoting and invasive effects of HBX. (C) 2022 Fundacion Clinica Medica Sur, A.C. Published by Elsevier Espana, S.L.U.</t>
  </si>
  <si>
    <t>[Niu, Lian-Jie; Huang, Tao; Sun, Xian-Fu] Zhengzhou Univ, Affiliated Canc Hosp, Henan Breast Canc Ctr, Dept Breast Dis, Zhengzhou, Peoples R China; [Niu, Lian-Jie; Huang, Tao; Sun, Xian-Fu] Henan Canc Hosp, Zhengzhou, Henan, Peoples R China; [Niu, Lian-Jie; Wang, Lianjiang; Zhang, Ya-Min] Tianjin First Cent Hosp, Dept Hepatobiliary Surg, Tianjin, Peoples R China</t>
  </si>
  <si>
    <t>Zhengzhou University; Zhengzhou University; Tianjin Medical University</t>
  </si>
  <si>
    <t>Zhang, YM (corresponding author), Tianjin First Cent Hosp, Dept Hepatobiliary Surg, Tianjin, Peoples R China.;Sun, XF (corresponding author), Zhengzhou Univ, Affiliated Canc Hosp, 127 Dongming Rd, Zhengzhou, Peoples R China.</t>
  </si>
  <si>
    <t>zlyysunxianfu1256@zzu.edu.cn</t>
  </si>
  <si>
    <t>1665-2681</t>
  </si>
  <si>
    <t>10.1016/j.aohep.2022.100688</t>
  </si>
  <si>
    <t>WOS:000832717300008</t>
  </si>
  <si>
    <t>Serratos, IN; Hernandez-Perez, E; Campos, C; Aschner, M; Santamaria, A</t>
  </si>
  <si>
    <t>Serratos, Iris N.; Hernandez-Perez, Elizabeth; Campos, Carolina; Aschner, Michael; Santamaria, Abel</t>
  </si>
  <si>
    <t>An Update on the Critical Role of alpha-Synuclein in Parkinson's Disease and Other Synucleinopathies: from Tissue to Cellular and Molecular Levels</t>
  </si>
  <si>
    <t>alpha-Synuclein; Lewy bodies; Post-translational modifications; Membrane biological interactions; Parkinson's disease; Organelles; Synucleinopathies</t>
  </si>
  <si>
    <t>N-TERMINAL ACETYLATION; ENDOPLASMIC-RETICULUM STRESS; GLIAL CYTOPLASMIC INCLUSIONS; MULTIPLE SYSTEM ATROPHY; DOPAMINERGIC-NEURONS; CROSS-LINKING; LEWY BODIES; IN-VITRO; MEMBRANE DISRUPTION; VESICLE DOCKING</t>
  </si>
  <si>
    <t>The aggregation of alpha-synuclein (alpha-Syn) plays a critical role in the development of Parkinson's disease (PD) and other synucleinopathies. alpha-Syn, which is encoded by the SNCA gene, is a lysine-rich soluble amphipathic protein normally expressed in neurons. Located in the cytosolic domain, this protein has the ability to remodel itself in plasma membranes, where it assumes an alpha-helix conformation. However, the protein can also adopt another conformation rich in cross-beta sheets, undergoing mutations and post-translational modifications, then leading the protein to an unusual aggregation in the form of Lewy bodies (LB), which are cytoplasmic inclusions constituted predominantly by alpha-Syn. Pathogenic mechanisms affecting the structural and functional stability of alpha-Syn - such as endoplasmic reticulum stress, Golgi complex fragmentation, disfunctional protein degradation systems, aberrant interactions with mitochondrial membranes and nuclear DNA, altered cytoskeleton dynamics, disrupted neuronal plasmatic membrane, dysfunctional vesicular transport, and formation of extracellular toxic aggregates - contribute all to the pathogenic progression of PD and synucleinopathies. In this review, we describe the collective knowledge on this topic and provide an update on the critical role of alpha-Syn aggregates, both at the cellular and molecular levels, in the deregulation of organelles affecting the cellular homeostasis and leading to neuronal cell death in PD and other synucleinopathies.</t>
  </si>
  <si>
    <t>[Serratos, Iris N.] Univ Autonoma Metropolitana Iztapalapa, Dept Quim, Mexico City 09340, DF, Mexico; [Hernandez-Perez, Elizabeth; Campos, Carolina] Univ Autonoma Metropolitana Iztapalapa, Dept Ciencias Salud, Mexico City 09340, DF, Mexico; [Aschner, Michael] Albert Einstein Coll Med, Dept Mol Pharmacol, 1300 Morris Pk Ave, Bronx, NY 10461 USA; [Santamaria, Abel] SSA, Inst Nacl Neurol &amp; Neurocirugia, Lab Neurofarmacol Mol &amp; Nanotecnol, Lab Aminoacidos Excitadores, Mexico City 14269, DF, Mexico</t>
  </si>
  <si>
    <t>Universidad Autonoma Metropolitana - Mexico; Universidad Autonoma Metropolitana - Mexico; Yeshiva University; Albert Einstein College of Medicine</t>
  </si>
  <si>
    <t>Campos, C (corresponding author), Univ Autonoma Metropolitana Iztapalapa, Dept Ciencias Salud, Mexico City 09340, DF, Mexico.;Santamaria, A (corresponding author), SSA, Inst Nacl Neurol &amp; Neurocirugia, Lab Neurofarmacol Mol &amp; Nanotecnol, Lab Aminoacidos Excitadores, Mexico City 14269, DF, Mexico.</t>
  </si>
  <si>
    <t>caro@xanum.uam.mx; absada@yahoo.com</t>
  </si>
  <si>
    <t>Serratos, Iris N./E-4530-2018</t>
  </si>
  <si>
    <t>Serratos, Iris N./0000-0002-8352-2423; Santamaria, Abel/0000-0002-9874-7182</t>
  </si>
  <si>
    <t>10.1007/s12035-021-02596-3</t>
  </si>
  <si>
    <t>WOS:000715674700001</t>
  </si>
  <si>
    <t>Li, W; Zhang, LY; Guo, BB; Deng, JQ; Wu, SQ; Li, F; Wang, YR; Lu, JC; Zhou, YF</t>
  </si>
  <si>
    <t>Li, Wei; Zhang, Liyuan; Guo, Binbin; Deng, Jieqiong; Wu, Siqi; Li, Fang; Wang, Yirong; Lu, Jiachun; Zhou, Yifeng</t>
  </si>
  <si>
    <t>Exosomal FMR1-AS1 facilitates maintaining cancer stem-like cell dynamic equilibrium via TLR7/NFB/c-Myc signaling in female esophageal carcinoma</t>
  </si>
  <si>
    <t>ESCC; lncRNA; Exosome; CSC; TLR7; NFB; c-Myc</t>
  </si>
  <si>
    <t>PLASMACYTOID DENDRITIC CELLS; X-CHROMOSOME INACTIVATION; IFN-ALPHA; C-MYC; RNA; IDENTIFICATION; RECOGNITION; ASSOCIATION; FAMILY; DNA</t>
  </si>
  <si>
    <t>BackgroundThough esophageal cancer is three to four times more common among males than females worldwide, this type of cancer still ranks in the top incidence among women, even more than the female specific cancer types. The occurrence is currently attributed to extrinsic factors, including tobacco use and alcohol consumption. However, limited attention has been given to gender-specific intrinsic genetic factors, especially in female.MethodsWe re-annotated a large cohort of microarrays on 179 ESCC patients and identified female-specific differently expressed lncRNAs. The associations between FMR1-AS1 and the risk and prognosis of ESCC were examined in 206 diagnosed patients from eastern China and validated in 188 additional patients from southern China. The effects of FMR1-AS1 on the malignant phenotypes on female ESCC cells were detected in vitro and in vivo. ChIRP-MS, reporter gene assays and EMSA were conducted to identify the interaction and regulation among FMR1-AS1, TLR7 and NFB.ResultsWe found FMR1-AS1 expression is exclusively altered and closely associated with the level of sXCI in female ESCC patients, and its overexpression may correlate to poor clinical outcome. ChIRP-MS data indicate that FMR1-AS1 could be packaged into exosomes and released into tumor microenvironment. Functional studies demonstrated that FMR1-AS1 could bind to endosomal toll-like receptor 7 (TLR7) and activate downstream TLR7-NFB signaling, promoting the c-Myc expression, thus inducing ESCC cell proliferation, anti-apoptosis and invasion ability. Exosome incubation and co-xenograft assay indicate that FMR1-AS1 exosomes may secreted from ESCC CSCs, transferring stemness phenotypes to recipient non-CSCs in tumor microenvironment. Furthermore, we also found a correlation between the serum levels of FMR1-AS1 and the overall survival (OS) of the female ESCC patients.ConclusionsOur results highlighted exosomal FMR1-AS1 in maintaining CSC dynamic interconversion state through the mechanism of activating TLR7-NFB signaling, upregulating c-Myc level in recipient cells, which may be taken as an attractive target approach for advancing current precision cancer therapeutics in female patients.</t>
  </si>
  <si>
    <t>[Li, Wei; Guo, Binbin; Deng, Jieqiong; Wu, Siqi; Li, Fang; Wang, Yirong; Zhou, Yifeng] Soochow Univ, Dept Genet, Med Coll, Suzhou 215123, Peoples R China; [Zhang, Liyuan] Soochow Univ, Affiliated Hosp 2, Dept Radiotherapy &amp; Oncol, San Xiang Rd 1055, Suzhou 215004, Peoples R China; [Lu, Jiachun] Guangzhou Med Univ, Inst Chem Carcinogenesis, State Key Lab Resp Dis, Guangzhou 510182, Guangdong, Peoples R China</t>
  </si>
  <si>
    <t>Soochow University - China; Soochow University - China; Guangzhou Medical University; State Key Laboratory of Respiratory Disease</t>
  </si>
  <si>
    <t>Zhou, YF (corresponding author), Soochow Univ, Dept Genet, Med Coll, Suzhou 215123, Peoples R China.</t>
  </si>
  <si>
    <t>liwei17909@163.com; zhouyifeng@suda.edu.cn</t>
  </si>
  <si>
    <t>Li, Wei/H-8477-2018; 李, 巍/L-7829-2019</t>
  </si>
  <si>
    <t>Wu, Siqi/0000-0002-5051-2923</t>
  </si>
  <si>
    <t>10.1186/s12943-019-0949-7</t>
  </si>
  <si>
    <t>WOS:000458166100001</t>
  </si>
  <si>
    <t>Kim, WH; Lee, JU; Jeon, MJ; Park, KH; Sim, SJ</t>
  </si>
  <si>
    <t>Kim, Woo Hyun; Lee, Jong Uk; Jeon, Myeong Jin; Park, Kyong Hwa; Sim, Sang Jun</t>
  </si>
  <si>
    <t>Three-dimensional hierarchical plasmonic nano-architecture based label-free surface-enhanced Raman spectroscopy detection of urinary exosomal miRNA for clinical diagnosis of prostate cancer</t>
  </si>
  <si>
    <t>Surface-enhanced Raman scattering (SERS); Exosomal miRNA; Label-free detection; Prostate cancer; Urine; Clinical diagnosis; 3D hierarchical nanostructure</t>
  </si>
  <si>
    <t>TUMOR-DERIVED EXOSOMES; CIRCULATING MIRNAS; MICRORNA DETECTION; BIOMARKERS; SERS; RNA; DNA; SENSITIVITY; BIOSENSOR; CAPTURE</t>
  </si>
  <si>
    <t>The urinary exosomal miRNAs are recently emerging prostate cancer (PC)-associated biomarkers for the early-stage diagnosis and prognosis due to their non-invasiveness, inherent stability and the representation of the status of the originated cells. However, developing a urinary exosomal miRNA detection method with high accuracy is challenging because of the low abundance and high sequence homology of miRNAs. Herein, we present a quantitative and label-free miRNA sensing platform using surface-enhanced Raman scattering (SERS) based on three-dimensional (3D) hierarchical plasmonic nano-architecture to detect urinary exosomal miRNAs. This hierarchical nanostructure is constructed by self-assembly between target-complementary DNA probes-conjugated gold nanoparticles and head-flocked gold nanopillars in the presence of the target miRNAs, creating numerous 3D plasmonic hot-spots inducing exceedingly high amplification of SERS signals. This 3D SERS biosensor achieved similar to 10 aM detection limits for the target miRNAs (miR-10a and miR-21), which is over 1000-fold more sensitive than previously reported miRNA sensors without the requirement of any labelling or pre-treatment steps. Finally, the clinical validation using urinary samples revealed that our 3D SERS sensor discriminates PC patients from healthy control with high diagnostic accuracy (0.93) based on the differential expression level of urinary exosomal miRNAs. These outputs demonstrate that our SERS sensor based on 3D hierarchical nano-architecture can offer facile, accurate and rapid methods to measure miRNA expression and is helpful for the diagnosis of various diseases.</t>
  </si>
  <si>
    <t>[Kim, Woo Hyun; Lee, Jong Uk; Jeon, Myeong Jin; Sim, Sang Jun] Korea Univ, Dept Chem &amp; Biol Engn, 145 Anam Ro, Seoul 02841, South Korea; [Lee, Jong Uk] Sunchon Natl Univ, Dept Chem Engn, 225 Jungang Ro, Sunchon, Jeollanam Do, South Korea; [Park, Kyong Hwa] Korea Univ, Coll Med, Dept Internal Med, Div Oncol Hematol, Seoul 02841, South Korea</t>
  </si>
  <si>
    <t>Korea University; Sunchon National University; Korea University; Korea University Medicine (KU Medicine)</t>
  </si>
  <si>
    <t>Sim, SJ (corresponding author), Korea Univ, Dept Chem &amp; Biol Engn, 145 Anam Ro, Seoul 02841, South Korea.</t>
  </si>
  <si>
    <t>10.1016/j.bios.2022.114116</t>
  </si>
  <si>
    <t>WOS:000820291000007</t>
  </si>
  <si>
    <t>Pikkarainen, T; Nurmi, T; Sasaki, T; Bergmann, U; Vainio, S</t>
  </si>
  <si>
    <t>Pikkarainen, Timo; Nurmi, Tuomas; Sasaki, Takako; Bergmann, Ulrich; Vainio, Seppo</t>
  </si>
  <si>
    <t>Role of the extracellular matrix-located Mac-2 binding protein as an interactor of the Wnt proteins</t>
  </si>
  <si>
    <t>Wnt; Mac-2 binding protein; Extracellular matrix; Protein-protein interaction</t>
  </si>
  <si>
    <t>STRUCTURAL BASIS; LGALS3BP; LIGANDS; 90K</t>
  </si>
  <si>
    <t>The Wnt proteins constitute a conserved family of secreted palmitoleate-containing signaling proteins that play important roles in development and tissue homeostasis. Their hydrophobic nature has raised the question of how the proteins are transported outside the cells. Accumulating evidence suggests that several different mechanisms, including transport by lipoprotein particles and exosomes, may contribute to this process. Here, we expressed epitope-tagged Wnt4 in HEK293 cells, and identified Mac-2 binding protein (Mac-2BP) as its binding partner in the serum-free conditioned medium. Serine-to-alanine substitution at the conserved fatty acid-conjugation site did not affect Mac-2BP binding. Subsequent studies showed that Mac-2BP may be a general Wnt interactor. It is found in the extracellular matrix (ECM) of various tissues, where it forms unusual oligomeric ring-like structures. Its functions appear to include interactions with cells and certain ECM components. Intriguingly, both Wnt signaling and Mac2BP expression are upregulated in many types of cancer. Our studies on the four-domain Mac-2BP indicate a crucial role in Wnt binding for the C-terminal domain that bears no sequence similarity to any other protein. Mac-2BP may have a role in regulating the extracellular spreading and storage of the Wnts, thereby modulating their bioavailability and stability. (C) 2017 Elsevier Inc. All rights reserved.</t>
  </si>
  <si>
    <t>[Pikkarainen, Timo; Nurmi, Tuomas; Bergmann, Ulrich; Vainio, Seppo] Univ Oulu, Bioctr Oulu, Fac Biochem &amp; Mol Med, FIN-90220 Oulu, Finland; [Sasaki, Takako] Oita Univ, Fac Med, Dept Matrix Med, Oita, Japan</t>
  </si>
  <si>
    <t>University of Oulu; Oita University</t>
  </si>
  <si>
    <t>Pikkarainen, T (corresponding author), Univ Oulu, Bioctr Oulu, Fac Biochem &amp; Mol Med, FIN-90220 Oulu, Finland.</t>
  </si>
  <si>
    <t>timoopik@gmail.com</t>
  </si>
  <si>
    <t>Nurmi, Tuomas/0000-0002-0560-4319; Vainio, Seppo/0000-0001-9319-3566</t>
  </si>
  <si>
    <t>10.1016/j.bbrc.2017.07.141</t>
  </si>
  <si>
    <t>WOS:000411169800014</t>
  </si>
  <si>
    <t>Bieri, J; Leisi, R; Bircher, C; Ros, C</t>
  </si>
  <si>
    <t>Bieri, Jan; Leisi, Remo; Bircher, Cornelia; Ros, Carlos</t>
  </si>
  <si>
    <t>Human parvovirus B19 interacts with globoside under acidic conditions as an essential step in endocytic trafficking</t>
  </si>
  <si>
    <t>MEMBRANE INVAGINATIONS; VIRUS; REPLICATION; REGION; CELLS; IDENTIFICATION; TROPISM; GENOME</t>
  </si>
  <si>
    <t>The glycosphingolipid (GSL) globoside (Gb4) is essential for parvovirus B19 (B19V) infection. Historically considered the cellular receptor of B19V, the role of Gb4 and its interaction with B19V are controversial. In this study, we applied artificial viral particles, genetically modified cells, and specific competitors to address the interplay between the virus and the GSL. Our findings demonstrate that Gb4 is not involved in the binding or internalization process of the virus into permissive erythroid cells, a function that corresponds to the VP1u cognate receptor. However, Gb4 is essential at a post-internalization step before the delivery of the single-stranded viral DNA into the nucleus. In susceptible erythroid Gb4 knockout cells, incoming viruses were arrested in the endosomal compartment, showing no cytoplasmic spreading of capsids as observed in Gb4-expressing cells. Hemagglutination and binding assays revealed that pH acts as a switch to modulate the affinity between the virus and the GSL. Capsids interact with Gb4 exclusively under acidic conditions and dissociate at neutral pH. Inducing a specific Gb4-mediated attachment to permissive erythroid cells by acidification of the extracellular environment led to a non-infectious uptake of the virus, indicating that low pH-mediated binding to the GSL initiates active membrane processes resulting in vesicle formation. In summary, this study provides mechanistic insight into the interaction of B19V with Gb4. The strict pH-dependent binding to the ubiquitously expressed GSL prevents the redirection of the virus to nonpermissive tissues while promoting the interaction in acidic intracellular compartments as an essential step in infectious endocytic trafficking. Author summary The neutral glycosphingolipid globoside (Gb4) has been historically considered the cellular receptor of B19V, however, its wide expression profile does not correlate well with the restricted tropism of the virus. Here, we show that Gb4 is essential for the infection at a step following virus uptake and before the delivery of the viral ssDNA into the nucleus. B19V interacts with Gb4 exclusively under acidic conditions, prohibiting the interaction on the plasma membrane and promoting it inside the acidic endosomal compartments, which are engaged by the virus and the GSL after internalization. In the absence of Gb4, incoming viruses are retained in the endocytic compartment and the infection is aborted. This study reveals the mechanism of the interaction between the virus and the glycosphingolipid and redefines the role of Gb4 as an essential intracellular partner required for infectious entry.</t>
  </si>
  <si>
    <t>[Bieri, Jan; Leisi, Remo; Bircher, Cornelia; Ros, Carlos] Univ Bern, Dept Chem Biochem &amp; Pharmaceut Sci, Bern, Switzerland</t>
  </si>
  <si>
    <t>University of Bern</t>
  </si>
  <si>
    <t>Ros, C (corresponding author), Univ Bern, Dept Chem Biochem &amp; Pharmaceut Sci, Bern, Switzerland.</t>
  </si>
  <si>
    <t>carlos.ros@dcb.unibe.ch</t>
  </si>
  <si>
    <t>Bieri, Jan/0000-0001-8401-8002; Ros, Carlos/0000-0002-6964-4002; Leisi, Remo/0000-0001-7019-0098</t>
  </si>
  <si>
    <t>e1009434</t>
  </si>
  <si>
    <t>10.1371/journal.ppat.1009434</t>
  </si>
  <si>
    <t>WOS:000642143200003</t>
  </si>
  <si>
    <t>Ramos, H; Valdivieso, E; Gamargo, M; Dagger, F; Cohen, BE</t>
  </si>
  <si>
    <t>Amphotericin B kills unicellular leishmanias by forming aqueous pores permeable to small cations and anions</t>
  </si>
  <si>
    <t>JOURNAL OF MEMBRANE BIOLOGY</t>
  </si>
  <si>
    <t>amphotericin B; permeability; anions; aqueous pores; Leishmania</t>
  </si>
  <si>
    <t>PLASMA-MEMBRANE VESICLES; POLYENE ANTIBIOTICS; MAJOR PROMASTIGOTES; HYPOOSMOTIC STRESS; ERYTHROCYTES; SELECTIVITY; CHANNELS; DAMAGE; SHAPE</t>
  </si>
  <si>
    <t>The polyene antibiotic amphotericin B (AmB) is known to form two types of ionic channels across sterol-containing liposomes, depending on its concentration and time after mixing (Cohen, 1992). In the present study, it is shown that AmB only kills unicellular Leishmania promastigotes (LPs) when aqueous pores permeable to small cations and anions are formed. Changes of membrane potential across ergosterol-containing liposomes and LPs were followed by fluorescence changes of 3,3' dipropylthiadicarbocyanine (DiSC(3)(5)). In KCl-loaded liposomes suspended in an iso-osmotic sucrose solution, low AmB concentrations (less than or equal to 0.1 mu M) induced a polarization potential, indicating KC leakage, but no movement of cations and anions was allowed until AmB concentrations greater than 0.1 mu M were added. In agreement with these data, it was found that AmB altered the negative membrane potential held across LPs in a manner consistent with the differential cation/anion selectivity exhibited by the channels formed in liposomes. Thus, LPs suspended in an iso-osmotic sucrose solution did not exhibit any AmB-induced membrane depolarization effect brought about by efflux of anions until 0.1 mu M or higher AmB concentrations were added. By contrast, LPs suspended in an iso-osmotic NaCl solution and exposed to 0.05 mu M AmB exhibited a nearly total collapse of the negative membrane potential, indicating Na+ entry into the cells. The concentration dependence of the AmB-induced permeability to different salts was also measured across vesicles derived from the plasma membrane of leishmanias (LMVs), by using a rapid mixing technique. At con centrations above 0.1 mu M, AmB induced the formation of aqueous pores across LMVs with a positive cooperativity, yielding Hill coefficients between 2 to 3. Measured anion selectivity across such aqueous pores followed the sequence: SCN &gt; NO3 &gt; Cl &gt; I &gt; Br &gt; acetate (SO42- being impermeable). Cell killing by AmB was followed by fluorescence changes of the DNA-binding compound ethidium bromide (EB). At low concentrations (less than or equal to 0.1 mu M), AmB was found to be nonlethal against LPs but, above this concentration, leishmanias were rapidly killed. The rate and extent of such an effect were found to be dependent on the type of cation and anion present in the external aqueous solution. For both NH4+ and Na+ salts, the measured rank order of AmB cell killing followed the same sequence that was determined for AmB-induced salt permeation across LMVs. Further, replacement of either extracellular Na+ by choline or Cl- by SO42-, or its partial substitution by sucrose, in iso-osmotic conditions, led to a complete inhibition of the killing effect exerted by otherwise lethal AmB concentrations. Finally, it was shown that tetraethylammonium (TEA(+)), an organic cation that is known to block AmB-induced salt permeation across LMVs was able to retard the time lag observed for EB incorporation across LPs, indicating that this parameter can be taken to represent the time taken for salt accumulation inside the parasites. The present results thus indicate clearly that low AmB concentrations (less than or equal to 0.1 mu M) were able to form across LPs, cation channels that collapsed the parasite membrane potential but are not lytic. At high concentrations (less than or equal to 0.1 mu M), a salt influx via the aqueous pores formed by the antibiotic was followed by osmotic changes leading to cell lysis. This last stage is supported by electron microscopy observations of the changes of parasite morphology immediately upon addition of AmB, which indicated that the typical elongated promastigote cell forms became rounded and the flagella swells and round up. The present work is the first demonstration of the in vitro sensitivity of Leishmania promastigotes to osmotic lysis by AmB.</t>
  </si>
  <si>
    <t>CENT UNIV VENEZUELA,FAC SCI,INST EXPTL BIOL,CARACAS,VENEZUELA</t>
  </si>
  <si>
    <t>University of Central Venezuela</t>
  </si>
  <si>
    <t>VALDIVIESO, ELIZABETH/0000-0003-0059-5019</t>
  </si>
  <si>
    <t>0022-2631</t>
  </si>
  <si>
    <t>10.1007/s002329900086</t>
  </si>
  <si>
    <t>Biochemistry &amp; Molecular Biology; Cell Biology; Physiology</t>
  </si>
  <si>
    <t>WOS:A1996UW68000007</t>
  </si>
  <si>
    <t>Yang, X; Li, HF; Sun, HH; Fan, HX; Hu, YQ; Liu, M; Li, X; Tang, H</t>
  </si>
  <si>
    <t>Yang, Xi; Li, Hongfeng; Sun, Huahui; Fan, Hongxia; Hu, Yaqi; Liu, Min; Li, Xin; Tang, Hua</t>
  </si>
  <si>
    <t>Hepatitis B Virus-Encoded MicroRNA Controls Viral Replication</t>
  </si>
  <si>
    <t>miRNA; hepatitis B virus; pgRNA; HBc</t>
  </si>
  <si>
    <t>CORE PROTEIN; GENE-EXPRESSION; AMINO-ACID; IDENTIFICATION; BIOGENESIS; INFECTION; LIFE; RNAS; ENVELOPMENT; DISEASE</t>
  </si>
  <si>
    <t>MicroRNAs (miRNAs) are a class of small, single-stranded, noncoding, functional RNAs. Hepatitis B virus (HBV) is an enveloped DNA virus with virions and subviral forms of particles that lack a core. It was not known whether HBV encodes miRNAs. Here, we identified an HBV-encoded miRNA (called HBV-miR-3) by deep sequencing and Northern blotting. HBV-miR-3 is located at nucleotides (nt) 373 to 393 of the HBV genome and was generated from 3.5-kb, 2.4-kb, and 2.1-kb HBV in a classic miRNA biogenesis (Drosha-Dicer-dependent) manner. HBV-miR-3 was highly expressed in hepatoma cell lines with an integrated HBV genome and HBV+ hepatoma tumors. In patients with HBV infection, HBV-miR-3 was released into the circulation by exosomes and HBV virions, and HBV-miR-3 expression had a positive correlation with HBV titers in the sera of patients in the acute phase of HBV infection. More interestingly, we found that HBV-miR-3 represses HBsAg, HBeAg, and replication of HBV. HBV-miR-3 targets the unique site of the HBV 3.5-kb transcript to specifically reduce HBc protein expression, levels of pregenomic RNA (pgRNA), and HBV replication intermediate (HBV-RI) generation but does not affect the HBV DNA polymerase level, thus suppressing HBV virion production (replication). This may explain the low levels of HBV virion generation with abundant subviral particles lacking core during HBV replication, which may contribute to the development of persistent infection in patients. Taken together, our findings shed light on novel mechanisms by which HBV-encoded miRNA controls the process of self-replication by regulating HBV transcript during infection. IMPORTANCE Hepatitis B is a liver infection caused by the hepatitis B virus (HBV) that can become a long-term, chronic infection and lead to cirrhosis or liver cancer. HBV is a small DNA virus that belongs to the hepadnavirus family, with virions and subviral forms of particles that lack a core. MicroRNA (miRNA), a small (similar to 22-nt) noncoding RNA, was recently found to be an important regulator of gene expression. We found that HBV encodes miRNA (HBV-miR-3). More importantly, we revealed that HBV-miR-3 targets its transcripts to attenuate HBV replication. This may contribute to explaining how HBV infection leads to mild damage in liver cells and the subsequent establishment/ maintenance of persistent infection. Our findings highlight a mechanism by which HBV-encoded miRNA controls the process of self-replication by regulating the virus itself during infection and might provide new biomarkers for diagnosis and treatment of hepatitis B.</t>
  </si>
  <si>
    <t>[Tang, Hua] Tianjin Med Univ, Tianjin Life Sci Res Ctr, Tianjin, Peoples R China; Tianjin Med Univ, Dept Pathogen Biol, Sch Basic Med Sci, Tianjin, Peoples R China</t>
  </si>
  <si>
    <t>Tang, H (corresponding author), Tianjin Med Univ, Tianjin Life Sci Res Ctr, Tianjin, Peoples R China.</t>
  </si>
  <si>
    <t>htang2002@yahoo.com</t>
  </si>
  <si>
    <t>e01919-16</t>
  </si>
  <si>
    <t>10.1128/JVI.01919-16</t>
  </si>
  <si>
    <t>WOS:000401227300023</t>
  </si>
  <si>
    <t>Tarakanchikova, Y; Muslimov, A; Sergeev, I; Lepik, K; Yolshin, N; Goncharenko, A; Vasilyev, K; Eliseev, I; Bukatin, A; Sergeev, V; Pavlov, S; Popov, A; Meglinski, I; Afanasiev, B; Parakhonskiy, B; Sukhorukov, G; Gorin, D</t>
  </si>
  <si>
    <t>Tarakanchikova, Yana; Muslimov, Albert; Sergeev, Igor; Lepik, Kirill; Yolshin, Nikita; Goncharenko, Alexander; Vasilyev, Kirill; Eliseev, Igor; Bukatin, Anton; Sergeev, Vladislav; Pavlov, Sergey; Popov, Alexey; Meglinski, Igor; Afanasiev, Boris; Parakhonskiy, Bogdan; Sukhorukov, Gleb; Gorin, Dmitry</t>
  </si>
  <si>
    <t>A highly efficient and safe gene delivery platform based on polyelectrolyte core-shell nanoparticles for hard-to-transfect clinically relevant cell types</t>
  </si>
  <si>
    <t>JOURNAL OF MATERIALS CHEMISTRY B</t>
  </si>
  <si>
    <t>CONSECUTIVELY ALTERNATING ADSORPTION; MESSENGER-RNA; CALCIUM-CARBONATE; EXTRACELLULAR VESICLES; NONVIRAL DELIVERY; THERAPY PROGRESS; MULTILAYER FILMS; DENDRITIC CELLS; VIRAL VECTORS; IN-VITRO</t>
  </si>
  <si>
    <t>While DNA and messenger RNA (mRNA) based therapies are currently changing the biomedical field, the delivery of genetic materials remains the key problem preventing the wide introduction of these methods into clinical practice. Therefore, the creation of new methods for intracellular gene delivery, particularly to hard-to-transfect, clinically relevant cell populations is a pressing issue. Here, we report on the design of a novel approach to format 50-150 nm calcium carbonate particles in the vaterite state and using them as a template for polymeric core-shell nanoparticles. We apply such core-shell nanoparticles as safe and efficient carriers for mRNA and pDNA. We prove that such nanocarriers are actively internalized by up to 99% of primary T-lymphocytes and exert minimal toxicity with the viability of &gt;90%. We demonstrate that these nanocarriers mediate more efficient transfection compared with the standard electroporation method (90% vs. 51% for mRNA and 62% vs. 39% for plasmid DNA) in primary human T-lymphocytes as a model of the hard to transfect type that is widely used in gene and cell therapy approaches. Importantly, these polymeric nanocarriers can be used in serum containing basic culture medium without special conditions and equipment, thus having potential for being introduced in clinical development. As a result, we have provided proof-of-principle that our nanosized containers represent a promising universal non-viral platform for efficient and safe gene delivery.</t>
  </si>
  <si>
    <t>[Tarakanchikova, Yana; Popov, Alexey; Meglinski, Igor] Univ Oulu, Optoelect &amp; Measurement Tech Res Unit, Oulu 90014, Finland; [Tarakanchikova, Yana; Muslimov, Albert; Goncharenko, Alexander; Eliseev, Igor; Bukatin, Anton] Alferov Univ, Nanobiotechnol Lab, St Petersburg 194021, Russia; [Tarakanchikova, Yana; Sukhorukov, Gleb] Peter Great St Petersburg Polytech Univ, St Petersburg 195251, Russia; [Tarakanchikova, Yana; Muslimov, Albert; Lepik, Kirill; Goncharenko, Alexander] QR Bio Ltd Liabil Co, St Petersburg 191119, Russia; [Sergeev, Igor; Gorin, Dmitry] Skolkovo Inst Sci &amp; Technol, Ctr Photon &amp; Quantum Mat 11, Moscow 143026, Russia; [Lepik, Kirill; Sergeev, Vladislav; Afanasiev, Boris] First IP Pavlov State Med Univ St Petersburg, St Petersburg 197022, Russia; [Yolshin, Nikita; Vasilyev, Kirill] Res Inst Influenza, St Petersburg 197376, Russia; [Pavlov, Sergey] Ioffe Inst, St Petersburg 194021, Russia; [Popov, Alexey] VTT Tech Res Ctr Finland, Kaitovayla 1, Oulu 90590, Finland; [Parakhonskiy, Bogdan] Univ Ghent, Fac Biosci Engn, B-9000 Ghent, Belgium; [Sukhorukov, Gleb] Queen Mary Univ London, Sch Engn &amp; Mat Sci, London E1 4NS, England; [Sukhorukov, Gleb; Gorin, Dmitry] Saratov NG Chernyshevskii State Univ, Educ Res Inst Nanostruct &amp; Biosyst, Saratov 410012, Russia</t>
  </si>
  <si>
    <t>University of Oulu; Peter the Great St. Petersburg Polytechnic University; Skolkovo Institute of Science &amp; Technology; Pavlov First Saint Petersburg State Medical University; Russian Academy of Sciences; St. Petersburg Scientific Centre of the Russian Academy of Sciences; Ioffe Physical Technical Institute; VTT Technical Research Center Finland; Ghent University; University of London; Queen Mary University London; Saratov State University</t>
  </si>
  <si>
    <t>Tarakanchikova, Y (corresponding author), Univ Oulu, Optoelect &amp; Measurement Tech Res Unit, Oulu 90014, Finland.;Tarakanchikova, Y (corresponding author), Alferov Univ, Nanobiotechnol Lab, St Petersburg 194021, Russia.;Tarakanchikova, Y (corresponding author), Peter Great St Petersburg Polytech Univ, St Petersburg 195251, Russia.;Tarakanchikova, Y (corresponding author), QR Bio Ltd Liabil Co, St Petersburg 191119, Russia.</t>
  </si>
  <si>
    <t>yana.tarakanchikova@gmail.com</t>
  </si>
  <si>
    <t>Sergeev, Igor/AAC-7296-2022; Parakhonskiy, Bogdan/E-8956-2012; Gorin, Dmitry A./D-8324-2013; Yolshin, Nikita/AAK-5806-2021; Eliseev, Igor E./E-2488-2014; Lepik, Kirill/AAN-7157-2021; Vasilev, Kirill/I-8895-2018; Sergeev, Vladislav/ABG-2652-2021</t>
  </si>
  <si>
    <t>Parakhonskiy, Bogdan/0000-0002-6481-3700; Gorin, Dmitry A./0000-0001-8760-615X; Eliseev, Igor E./0000-0002-3344-2513; Lepik, Kirill/0000-0002-4056-050X; Vasilev, Kirill/0000-0002-7750-9652; Muslimov, Albert/0000-0001-5736-2764; Popov, Alexey/0000-0002-1417-6715; Sergeev, Vladislav/0000-0002-2103-6737; Tarakanchikova, Yana/0000-0002-3671-2881</t>
  </si>
  <si>
    <t>2050-750X</t>
  </si>
  <si>
    <t>2050-7518</t>
  </si>
  <si>
    <t>10.1039/d0tb01359e</t>
  </si>
  <si>
    <t>WOS:000582937800013</t>
  </si>
  <si>
    <t>Braunagel, SC; He, H; Ramamurthy, P; Summers, MD</t>
  </si>
  <si>
    <t>Transcription, translation, and cellular localization of three Autographa californica nuclear polyhedrosis virus structural proteins: ODV-E18, ODV-E35, and ODV-EC27</t>
  </si>
  <si>
    <t>CAPSID-ASSOCIATED PROTEIN; OPEN READING FRAME; ORGYIA-PSEUDOTSUGATA; IMMUNOCYTOCHEMICAL CHARACTERIZATION; NUCLEOTIDE-SEQUENCE; RIBONUCLEIC-ACID; GENETIC LOCATION; DNA-SEQUENCE; IDENTIFICATION; SIGNAL</t>
  </si>
  <si>
    <t>This paper identifies two structural proteins of the occluded derived viral envelope of Autographa californica nuclear polyhedrosis virus (AcMNPV): ODV-E18 and ODV-E35. In addition, we identify a protein, ODV-EC27, that Is incorporated into the capsid of occluded virus, which is not detected in budded virus. The genes for these proteins reside within the IE0 intron. The intron was sequenced, and five open reading frames (ORF) were identified. ORF 3 (genomic ORF 143) codes for the ODV envelope protein, ODV-E18. ORF 4 (genomic ORF 144) codes for ODV-EC27, and Western blot analyses locate this protein to both the ODV capsid and envelope. Transcripts for both ODV-E18 and ODV-EC27 initiate from conserved TAAG motifs, and transcripts are detected from 16 through 72 hr p.i, Antiserum to ODV-E18 recognizes a band of 18 kDa on Western blots of extracts from infected cells and bands of 18 and 35 kDa on Western blots of proteins from purified ODV envelope. N-terminal amino acid sequencing reveals that both ODV-E18 and ODV-E35 contain the same N-terminus. Antiserum to ODV-EC27 recognizes a protein of 27 kDa on Western blots of extracts from infected cells and bands of 27 and 35 kDa on Western blots of proteins from purified ODV. Using immunogold labeling techniques, ODV-E18 and/or ODV-E35 are detected in viral induced intranuclear microvesicles and are not detected in the plasma membrane, cytoplasmic membranes, or the nuclear envelope. Immunogold labeling using antisera to ODV-EC27 detects this protein on both the ODV envelope and capsid. (C) Academic Press, Inc.</t>
  </si>
  <si>
    <t>TEXAS A&amp;M UNIV,TEXAS AGR EXPT STN,COLLEGE STN,TX 77843; TEXAS A&amp;M UNIV,DEPT BIOCHEM &amp; BIOPHYS,COLLEGE STN,TX 77843; TEXAS A&amp;M UNIV,CTR ADV INVERTEBRATE MOL SCI,COLLEGE STN,TX 77843</t>
  </si>
  <si>
    <t>Texas A&amp;M University System; Texas A&amp;M University College Station; Texas A&amp;M AgriLife Research; Texas A&amp;M University System; Texas A&amp;M University College Station; Texas A&amp;M University System; Texas A&amp;M University College Station</t>
  </si>
  <si>
    <t>Braunagel, SC (corresponding author), TEXAS A&amp;M UNIV,DEPT ENTOMOL,COLLEGE STN,TX 77843, USA.</t>
  </si>
  <si>
    <t>10.1006/viro.1996.0401</t>
  </si>
  <si>
    <t>WOS:A1996VB37700010</t>
  </si>
  <si>
    <t>Abdouh, M; Gao, ZH; Arena, V; Arena, M; Burnier, MN; Arena, GO</t>
  </si>
  <si>
    <t>Abdouh, Mohamed; Gao, Zu-Hua; Arena, Vincenzo; Arena, Manuel; Burnier, Miguel N.; Arena, Goffredo Orazio</t>
  </si>
  <si>
    <t>Oncosuppressor-Mutated Cells as a Liquid Biopsy Test for Cancer-Screening</t>
  </si>
  <si>
    <t>MEMBRANE-VESICLES; TUMOR DNA; EXOSOMES; MICROVESICLES; METASTASIS; BIOGENESIS; ACTIVATION; PLASMA; PTEN</t>
  </si>
  <si>
    <t>We reported on the ability of immortalized or oncosuppressor-mutated cells (OMCs) to uptake circulating cancer-factors and give tumors when transplanted into mice. This led to the first biological based liquid biopsy test, which we called MATER-D platform. In the present study, we showed for the first time that a different type of OMCs (PTEN-deficient human epithelial MCF10A cells) turn malignant when exposed to cancer patient's sera, confirming the concept that different cells with diverse oncosuppressor mutations can uptake cancer factors and be used in biological based liquid biopsy tests. Our observations were confirmed in a large variety of solid and haematological malignancies. This test was able to detect dysplasia and carcinomas in situ lesions in different organs and circulating factors in cancer patients years after the removal of their lesions. To our knowledge, this ability is unique and not shared by other liquid biopsy platforms. Immunohistochemistry analysis of the xenotransplants revealed identical patterns of differentiation regardless of the cancer type, showing that differentiation through horizontal transfer might be dependent on the nature of the target cells rather than the type of cancer factors. These data strengthen the notion that OMC-based liquid biopsy tests might be promising platforms for cancer screening.</t>
  </si>
  <si>
    <t>[Abdouh, Mohamed; Burnier, Miguel N.; Arena, Goffredo Orazio] McGill Univ, Canc Res Program, Hlth Ctr, Res Inst, 1001 Decarie Blvd, Montreal, PQ H4A 3J1, Canada; [Gao, Zu-Hua] McGill Univ, Dept Pathol, Hlth Ctr, Res Inst, 1001 Decarie Blvd, Montreal, PQ H4A 3J1, Canada; [Arena, Vincenzo] Santo Bambino Hosp, Dept Obstet &amp; Gynecol, Via Torre del Vescovo 4, Catania, Italy; [Arena, Manuel] Univ Catania, Dept Surg Sci Organ Transplantat &amp; Adv Technol, Via Santa Sofia 84, Catania, Italy; [Arena, Goffredo Orazio] McGill Univ, St Mary Hosp, Dept Surg, 3830 Lacombe Ave, Montreal, PQ H3T 1M5, Canada</t>
  </si>
  <si>
    <t>McGill University; McGill University; University of Catania; McGill University</t>
  </si>
  <si>
    <t>Abdouh, Mohamed/0000-0003-0702-9335; Arena, Goffredo/0000-0002-5293-2972</t>
  </si>
  <si>
    <t>10.1038/s41598-019-38736-y</t>
  </si>
  <si>
    <t>WOS:000459094800065</t>
  </si>
  <si>
    <t>Hisada, Y; Grover, SP; Maqsood, A; Houston, R; Ay, C; Noubouossie, DF; Cooley, BC; Wallen, H; Key, NS; Thalin, C; Farkas, AZ; Farkas, VJ; Tenekedjiev, K; Kolev, K; Mackman, N</t>
  </si>
  <si>
    <t>Hisada, Yohei; Grover, Steven P.; Maqsood, Anaum; Houston, Reaves; Ay, Cihan; Noubouossie, Denis F.; Cooley, Brian C.; Wallen, Hakan; Key, Nigel S.; Thalin, Charlotte; Farkas, Adam Z.; Farkas, Veronika J.; Tenekedjiev, Kiril; Kolev, Krasimir; Mackman, Nigel</t>
  </si>
  <si>
    <t>Neutrophils and neutrophil extracellular traps enhance venous thrombosis in mice bearing human pancreatic tumors</t>
  </si>
  <si>
    <t>HAEMATOLOGICA</t>
  </si>
  <si>
    <t>CITRULLINATED HISTONE H3; DEEP-VEIN THROMBOSIS; TISSUE FACTOR; INNATE IMMUNITY; DNA TRAPS; COAGULATION; THROMBOEMBOLISM; RELEASE; MICROVESICLES; VALIDATION</t>
  </si>
  <si>
    <t>Pancreatic cancer is associated with a high incidence of venous thromboembolism. Neutrophils have been shown to contribute to thrombosis in part by releasing neutrophil extracellular traps (NET). A recent study showed that increased plasma levels of the NET biomarker, citrullinated histone H3 (H3Cit), are associated with venous thromboembolism in patients with pancreatic and lung cancer but not in those with other types of cancer, including breast cancer. In this study, we examined the contribution of neutrophils and NET to venous thrombosis in nude mice bearing human pancreatic tumors. We found that tumor-bearing mice had increased circulating neutrophil counts and levels of granulocyte-colony stimulating factor, neutrophil elastase, H3Cit and cell-free DNA compared with controls. In addition, thrombi from tumor-bearing mice contained increased levels of the neutrophil marker Ly6G, as well as higher levels of H3Cit and cell-free DNA. Thrombi from tumor-bearing mice also had denser fibrin with thinner fibers consistent with increased thrombin generation. Importantly, either neutrophil depletion or administration of DNase I reduced the thrombus size in tumor-bearing but not in control mice. Our results, together with clinical data, suggest that neutrophils and NET contribute to venous thrombosis in patients with pancreatic cancer.</t>
  </si>
  <si>
    <t>[Hisada, Yohei; Grover, Steven P.; Maqsood, Anaum; Houston, Reaves; Noubouossie, Denis F.; Key, Nigel S.; Mackman, Nigel] Univ N Carolina, Dept Med, Div Hematol &amp; Oncol, Chapel Hill, NC 27515 USA; [Ay, Cihan] Med Univ Vienna, Dept Med 1, Clin Div Hematol &amp; Hemostaseol, Vienna, Austria; [Cooley, Brian C.] Univ N Carolina, Dept Pathol &amp; Lab Med, Chapel Hill, NC 27515 USA; [Wallen, Hakan] Karolinska Inst, Danderyd Hosp, Div Cardiovasc Med, Dept Clin Sci, Stockholm, Sweden; [Thalin, Charlotte] Karolinska Inst, Div Internal Med, Danderyd Hosp, Dept Clin Sci, Stockholm, Sweden; [Farkas, Adam Z.; Farkas, Veronika J.; Kolev, Krasimir] Semmelweis Univ, Dept Med Biochem, Budapest, Hungary; [Tenekedjiev, Kiril] Univ Tasmania, Australian Maritime Coll, Launceston, Tas, Australia; [Tenekedjiev, Kiril] Nikola Vaptsarov Naval Acad, Dept Informat Technol, Varna, Bulgaria</t>
  </si>
  <si>
    <t>University of North Carolina; University of North Carolina Chapel Hill; Medical University of Vienna; University of North Carolina; University of North Carolina Chapel Hill; Danderyds Hospital; Karolinska Institutet; Danderyds Hospital; Karolinska Institutet; Semmelweis University; University of Tasmania; Nikola Vaptsarov Naval Academy</t>
  </si>
  <si>
    <t>Mackman, N (corresponding author), Univ N Carolina, Dept Med, Div Hematol &amp; Oncol, Chapel Hill, NC 27515 USA.</t>
  </si>
  <si>
    <t>Kolev, Krasimir/J-7648-2019; HISADA, YOHEI/I-1237-2019; Tenekedjiev, Kiril/D-8141-2012; Noubouossie, Denis/AAH-9064-2020; Kolev, Krasimir/A-3517-2008; Farkas, Ádám Zoltán/M-1783-2015</t>
  </si>
  <si>
    <t>Kolev, Krasimir/0000-0002-5612-004X; HISADA, YOHEI/0000-0001-9157-0524; Tenekedjiev, Kiril/0000-0003-3549-0671; Kolev, Krasimir/0000-0002-5612-004X; Mackman, Nigel/0000-0002-9170-7700</t>
  </si>
  <si>
    <t>0390-6078</t>
  </si>
  <si>
    <t>10.3324/haematol.2019.217083</t>
  </si>
  <si>
    <t>WOS:000505041200037</t>
  </si>
  <si>
    <t>Chen, ZM; Schubert, P; Bakkour, S; Culibrk, B; Busch, MP; Devine, DV</t>
  </si>
  <si>
    <t>Chen, Zhongming; Schubert, Peter; Bakkour, Sonia; Culibrk, Brankica; Busch, Michael P.; Devine, Dana V.</t>
  </si>
  <si>
    <t>p38 mitogen-activated protein kinase regulates mitochondrial function and microvesicle release in riboflavin- and ultraviolet light-treated apheresis platelet concentrates</t>
  </si>
  <si>
    <t>TRANSFUSION</t>
  </si>
  <si>
    <t>PERMEABILITY TRANSITION PORE; PATHOGEN REDUCTION TREATMENT; BLOOD COMPONENTS; OXIDATIVE STRESS; CELL-DEATH; APOPTOSIS; MICROPARTICLES; INACTIVATION; STORAGE; PLASMA</t>
  </si>
  <si>
    <t>BACKGROUND: Biochemical analyses of mechanisms triggered in platelets (PLTs) upon pathogen inactivation (PI) are crucial to further understand the impact of PI on PLT functionality and, subsequently, quality. STUDY DESIGN AND METHODS: PLT concentrates (PCs) were split into four small illumination bags: 1) untreated control, 2) treated with riboflavin and ultraviolet light (RF/UV), and spiked with 3) solvent control dimethyl sulfoxide and 4) p38 mitogen-activated protein kinase (MAPK) inhibitor SB203580 before RF/UV treatment. Flow cytometry was used to monitor PLT mitochondrial potential (Delta Psi(m)); generation of intracellular reactive oxygen species (ROS); and release of microvesicles (MVs), mitochondria (MT), and MVs containing MT (MVs/MT). Quantitative polymerase chain reaction (qPCR) was used to quantify extracellular mitochondrial DNA (mtDNA). Translocation of selected mitochondrial proteins was analyzed in subcellular fractions by immunoblot. RESULTS: RF/UV treatment triggered an increased mitochondrial translocation of both Bax and Bid (p&lt; 0.05, Day 7) and cytochrome c release (p&lt; 0.01, Day 7), loss of Delta Psi(m) (p&lt; 0.05, Day 5 and Day 7), and ROS generation (p&lt; 0.01, Day 5 and Day 7) in PCs compared to the untreated control during storage. These PI-triggered changes were inhibited by SB203580 (p&lt; 0.05). The release of MVs, MT, and MVs/MT was increased upon the RF/UV treatment during storage (p&lt; 0.05) and, with the exception of MT, the release was decreased by the inhibitor (p&lt; 0.05). qPCR analysis showed that RF/UV does not trigger mtDNA release during storage. CONCLUSION: These findings further our understanding of mechanisms in PLTs initiated by the RF/UV treatment, demonstrating that this treatment induces p38 MAPK-dependent mitochondrial signaling and MV release in apheresis PCs.</t>
  </si>
  <si>
    <t>[Chen, Zhongming; Schubert, Peter; Culibrk, Brankica; Devine, Dana V.] Univ British Columbia, Ctr Innovat, Canadian Blood Serv, Vancouver, BC, Canada; [Chen, Zhongming; Schubert, Peter; Culibrk, Brankica; Devine, Dana V.] Univ British Columbia, Ctr Blood Res, Vancouver, BC, Canada; [Schubert, Peter; Devine, Dana V.] Univ British Columbia, Dept Pathol &amp; Lab Med, Vancouver, BC, Canada; [Bakkour, Sonia; Busch, Michael P.] Univ Calif San Francisco, Blood Syst Res Inst, San Francisco, CA 94143 USA; [Busch, Michael P.] Univ Calif San Francisco, Dept Lab Med, San Francisco, CA 94143 USA</t>
  </si>
  <si>
    <t>Canadian Blood Services; University of British Columbia; University of British Columbia; University of British Columbia; University of California System; University of California San Francisco; Vitalant; Vitalant Research Institute; University of California System; University of California San Francisco</t>
  </si>
  <si>
    <t>Devine, DV (corresponding author), UBC Ctr Blood Res, Canadian Blood Serv, 2350 Hlth Sci Mall, Vancouver, BC V6T 1Z3, Canada.</t>
  </si>
  <si>
    <t>dana.devine@blood.ca</t>
  </si>
  <si>
    <t>Devine, Dana/0000-0002-9059-0344</t>
  </si>
  <si>
    <t>0041-1132</t>
  </si>
  <si>
    <t>1537-2995</t>
  </si>
  <si>
    <t>10.1111/trf.14035</t>
  </si>
  <si>
    <t>WOS:000402875300016</t>
  </si>
  <si>
    <t>Luo, AP; Zhou, XT; Shi, X; Zhao, YH; Men, Y; Chang, X; Chen, HY; Ding, F; Li, Y; Su, D; Xiao, ZF; Hui, ZG; Liu, ZH</t>
  </si>
  <si>
    <t>Luo, Aiping; Zhou, Xuantong; Shi, Xing; Zhao, Yahui; Men, Yu; Chang, Xiao; Chen, Hongyan; Ding, Fang; Li, Yi; Su, Dan; Xiao, Zefen; Hui, Zhouguang; Liu, Zhihua</t>
  </si>
  <si>
    <t>Exosome-derived miR-339-5p mediates radiosensitivity by targeting Cdc25A in locally advanced esophageal squamous cell carcinoma</t>
  </si>
  <si>
    <t>ONCOGENE</t>
  </si>
  <si>
    <t>NEOADJUVANT CHEMORADIOTHERAPY; P53-INDUCIBLE MICRORNAS; PROGNOSTIC-SIGNIFICANCE; H2AX PHOSPHORYLATION; TUMOR-SUPPRESSOR; DOWN-REGULATION; DNA-DAMAGE; CANCER; STAGE; EXPRESSION</t>
  </si>
  <si>
    <t>Cancer cells associated with radioresistance are likely to give rise to local recurrence and distant metastatic relapse. However, it remains unclear whether specific miRNAs have direct roles in radioresistance and/or prognosis. In this study, we find that miR-339-5p promotes radiosensitivity, and is downregulated in radioresistant subpopulations of esophageal cancer cells. Notably, miR-339-5p was selectively secreted into blood via exosomes, and that higher serum miR-339-5p levels were positively associated with radiotherapy sensitivity and good survival. Moreover, miR-339-5p expression was downregulated in the T3/T4 stage compared with T1/T2 stage in esophageal squamous cell carcinoma (ESCC) patients (P = 0.04), and low miR-339-5p expression in tissue was significantly associated with poor overall survival (P = 0.036) and disease-free survival (P = 0.037). Overexpression of miR-339-5p enhanced radiosensitivity in vitro and in vivo. Mechanistically, miR-339-5p enhances radiosensitivity by targeting Cdc25A, and is transcriptionally regulated by Runx3. Correlations were observed between miR-339-5p levels and Cdc25A/Runx3 levels in tissue samples. Intriguingly, combined analysis of miR-339-5p expression with Runx3 increased the separation of the survival curves obtained for either gene alone in the TCGA datasets (P = 0.009). Overall, exosome-derived miR-339-5p mediates radiosensitivity through downregulation of Cdc25A, and predicts pathological response to preoperative radiotherapy in locally advanced ESCC, suggesting it could be a promising non-invasive biomarker for facilitating personalized treatments.</t>
  </si>
  <si>
    <t>[Luo, Aiping; Zhou, Xuantong; Zhao, Yahui; Chen, Hongyan; Ding, Fang; Li, Yi; Liu, Zhihua] Chinese Acad Med Sci, State Key Lab Mol Oncol, Natl Canc Ctr, Natl Clin Res Ctr Canc,Canc Hosp, Beijing 100021, Peoples R China; [Luo, Aiping; Zhou, Xuantong; Zhao, Yahui; Men, Yu; Chang, Xiao; Chen, Hongyan; Ding, Fang; Li, Yi; Xiao, Zefen; Hui, Zhouguang; Liu, Zhihua] Peking Union Med Coll, Beijing 100021, Peoples R China; [Shi, Xing] Chinese Acad Sci, Beijing Inst Genom, Key Lab Genome Sci &amp; Informat, Beijing 100101, Peoples R China; [Men, Yu; Chang, Xiao; Xiao, Zefen; Hui, Zhouguang] Chinese Acad Med Sci, Dept Radiotherapy, Natl Canc Ctr, Natl Clin Res Ctr Canc,Canc Hosp, Beijing 100021, Peoples R China; [Su, Dan] Zhejiang Canc Hosp, Dept Pathol, Hangzhou 310022, Zhejiang, Peoples R China</t>
  </si>
  <si>
    <t>Chinese Academy of Medical Sciences - Peking Union Medical College; Cancer Institute &amp; Hospital - CAMS; Chinese Academy of Medical Sciences - Peking Union Medical College; Peking Union Medical College; Chinese Academy of Sciences; Beijing Institute of Genomics, CAS; Chinese Academy of Medical Sciences - Peking Union Medical College; Cancer Institute &amp; Hospital - CAMS; Zhejiang Cancer Hospital</t>
  </si>
  <si>
    <t>Liu, ZH (corresponding author), Chinese Acad Med Sci, State Key Lab Mol Oncol, Natl Canc Ctr, Natl Clin Res Ctr Canc,Canc Hosp, Beijing 100021, Peoples R China.;Xiao, ZF; Hui, ZG; Liu, ZH (corresponding author), Peking Union Med Coll, Beijing 100021, Peoples R China.;Xiao, ZF; Hui, ZG (corresponding author), Chinese Acad Med Sci, Dept Radiotherapy, Natl Canc Ctr, Natl Clin Res Ctr Canc,Canc Hosp, Beijing 100021, Peoples R China.</t>
  </si>
  <si>
    <t>xiaozefen@sina.com; huizg@cicams.ac.cn; liuzh@cicams.ac.cn</t>
  </si>
  <si>
    <t>dong, wang/T-9093-2019</t>
  </si>
  <si>
    <t>Chang, Xiao/0000-0003-0560-2441; Xiao, Zefen/0000-0003-0503-6814; Zhao, Yahui/0000-0002-9613-1384</t>
  </si>
  <si>
    <t>0950-9232</t>
  </si>
  <si>
    <t>1476-5594</t>
  </si>
  <si>
    <t>10.1038/s41388-019-0771-0</t>
  </si>
  <si>
    <t>Biochemistry &amp; Molecular Biology; Oncology; Cell Biology; Genetics &amp; Heredity</t>
  </si>
  <si>
    <t>WOS:000472145900008</t>
  </si>
  <si>
    <t>van der Post, JAM; Lok, CAR; Boer, K; Sturk, A; Sargent, IL; Nieuwland, R</t>
  </si>
  <si>
    <t>van der Post, Joris A. M.; Lok, Christianne A. R.; Boer, Kees; Sturk, Auguste; Sargent, Ian L.; Nieuwland, Rienk</t>
  </si>
  <si>
    <t>The Functions of Microparticles in Pre-Eclampsia</t>
  </si>
  <si>
    <t>Microparticles; pre-eclampsia; syncytiotrophoblast microparticles</t>
  </si>
  <si>
    <t>SYNCYTIOTROPHOBLAST MICROVILLOUS MEMBRANES; VEIN ENDOTHELIAL-CELLS; INTRAUTERINE GROWTH RESTRICTION; NEUTROPHIL EXTRACELLULAR DNA; EARLY-ONSET PREECLAMPSIA; NORMAL-PREGNANCY; MATERNAL PLASMA; MESSENGER-RNA; IN-VITRO; CIRCULATING MICROPARTICLES</t>
  </si>
  <si>
    <t>Pre-eclampsia (P-EC), a heterogenic multisystem disorder characterized by hypertension and proteinuria, usually develops in the second half of pregnancy. The incidence is 2 to 5%, and P-EC is therefore a major cause of maternal and perinatal morbidity and mortality. Although the exact etiology is unknown, placental factors released into the maternal circulation lead to systemic maternal inflammation and endothelial dysfunction. Growing evidence indicates that placenta-derived microparticles, best known as syncytiotrophoblast microparticles (STBM), are important among these factors. This review provides an overview of the presence and function(s) of STBM and other cell-derived microparticles and exosomes.</t>
  </si>
  <si>
    <t>[Sturk, Auguste; Nieuwland, Rienk] Acad Med Ctr, Dept Clin Chem, NL-1100 AZ Amsterdam, Netherlands; [van der Post, Joris A. M.; Lok, Christianne A. R.; Boer, Kees] Acad Med Ctr, Dept Obstet &amp; Gynaecol, NL-1100 AZ Amsterdam, Netherlands; [Sargent, Ian L.] Univ Oxford, John Radcliffe Hosp, Nuffield Dept Obstet &amp; Gynaecol, Womens Ctr, Oxford OX3 9DU, England</t>
  </si>
  <si>
    <t>University of Amsterdam; Academic Medical Center Amsterdam; University of Amsterdam; Academic Medical Center Amsterdam; University of Oxford</t>
  </si>
  <si>
    <t>Nieuwland, R (corresponding author), Acad Med Ctr, Dept Clin Chem, Meibergdreef 9,POB 22660, NL-1100 AZ Amsterdam, Netherlands.</t>
  </si>
  <si>
    <t>r.nieuwland@amc.nl</t>
  </si>
  <si>
    <t>Lok, Christianne/ABB-4416-2020; van der Post, Joris A M/A-8991-2008; Nieuwland, Rienk/AAC-9591-2019</t>
  </si>
  <si>
    <t>Nieuwland, Rienk/0000-0002-5394-2152; van der Post, Joris/0000-0003-3311-2116</t>
  </si>
  <si>
    <t>10.1055/s-0030-1270342</t>
  </si>
  <si>
    <t>WOS:000287558800010</t>
  </si>
  <si>
    <t>Liu, CL; Xiang, XQ; Han, SQ; Lim, HY; Li, LR; Zhang, X; Ma, ZW; Yang, L; Guo, SL; Soo, R; Ren, BX; Wang, LZ; Goh, BC</t>
  </si>
  <si>
    <t>Liu, Cuiliu; Xiang, Xiaoqiang; Han, Shuangqing; Lim, Hannah Ying; Li, Lingrui; Zhang, Xing; Ma, Zhaowu; Yang, Li; Guo, Shuliang; Soo, Ross; Ren, Boxu; Wang, Lingzhi; Goh, Boon Cher</t>
  </si>
  <si>
    <t>Blood-based liquid biopsy: Insights into early detection and clinical management of lung cancer</t>
  </si>
  <si>
    <t>Liquid biopsy; Biomarkers; Lung cancer; Early detection; Clinical management</t>
  </si>
  <si>
    <t>CIRCULATING-TUMOR-CELLS; DNA METHYLATION; PROMOTER HYPERMETHYLATION; DIAGNOSTIC BIOMARKERS; PLASMA; PANEL; MUTATIONS; PREDICT; SERUM; EGFR</t>
  </si>
  <si>
    <t>Currently, early detection of lung cancer relies on the characterisation of images generated from computed tomography (CT). However, lung tissue biopsy, a highly invasive surgical procedure, is required to confirm CTderived diagnostic results with very high false-positive rates. Hence, a non-invasive or minimally invasive biomarkers is essential to complement the existing low-dose CT (LDCT) for early detection, improve responses to a certain treatment, predict cancer recurrence, and to evaluate prognosis. In the past decade, liquid biopsies (e.g., blood) have been demonstrated to be highly effective for lung cancer biomarker discovery. In this review, the roles of emerging liquid biopsy-derived biomarkers such as circulating nucleic acids, circulating tumour cells (CTCs), long non-coding RNA (lncRNA), and microRNA (miRNA), as well as exosomes, have been highlighted. The advantages and limitations of these blood-based minimally invasive biomarkers have been discussed. Furthermore, the current progress of the identified biomarkers for clinical management of lung cancer has been summarised. Finally, a potential strategy for the early detection of lung cancer, using a combination of LDCT scans and well-validated biomarkers, has been discussed.</t>
  </si>
  <si>
    <t>[Liu, Cuiliu; Han, Shuangqing; Li, Lingrui; Zhang, Xing; Ma, Zhaowu; Ren, Boxu] Yangtze Univ, Hlth Sci Ctr, Sch Basic Med, Jingzhou 434023, Peoples R China; [Xiang, Xiaoqiang] Fudan Univ, Sch Pharm, Dept Clin Pharm &amp; Pharm Adm, Shanghai 201203, Peoples R China; [Lim, Hannah Ying] Natl Univ Singapore, Fac Sci, Dept Pharm, Singapore 117543, Singapore; [Yang, Li; Guo, Shuliang] Chongqing Med Univ, Affiliated Hosp 1, Chongqing, Peoples R China; [Soo, Ross; Goh, Boon Cher] Natl Univ Canc Inst, Dept Haematol Oncol, Singapore 119228, Singapore; [Wang, Lingzhi; Goh, Boon Cher] Natl Univ Singapore, Canc Sci Inst Singapore, Singapore 117599, Singapore; [Wang, Lingzhi; Goh, Boon Cher] Natl Univ Singapore, Yong Loo Lin Sch Med, Dept Pharmacol, Singapore 117600, Singapore</t>
  </si>
  <si>
    <t>Yangtze University; Fudan University; National University of Singapore; Chongqing Medical University; National University of Singapore; National University of Singapore; National University of Singapore</t>
  </si>
  <si>
    <t>Ren, BX (corresponding author), Yangtze Univ, Hlth Sci Ctr, Sch Basic Med, Jingzhou 434023, Peoples R China.;Wang, LZ (corresponding author), Natl Univ Singapore, Canc Sci Inst Singapore, Singapore 117599, Singapore.;Wang, LZ (corresponding author), Natl Univ Singapore, Yong Loo Lin Sch Med, Dept Pharmacol, Singapore 117600, Singapore.</t>
  </si>
  <si>
    <t>boxuren188@163.com; csiwl@nus.edu.sg</t>
  </si>
  <si>
    <t>Ma, Zhaowu/GLN-5157-2022</t>
  </si>
  <si>
    <t>Ma, Zhaowu/0000-0001-7675-1845; Lim, Hannah/0000-0002-9776-9697</t>
  </si>
  <si>
    <t>10.1016/j.canlet.2021.10.013</t>
  </si>
  <si>
    <t>WOS:000712464800002</t>
  </si>
  <si>
    <t>Brown, RB</t>
  </si>
  <si>
    <t>Brown, Ronald B.</t>
  </si>
  <si>
    <t>Sodium Toxicity in the Nutritional Epidemiology and Nutritional Immunology of COVID-19</t>
  </si>
  <si>
    <t>COVID-19; coronavirus; SARS-CoV-2; sodium toxicity; nutritional epidemiology; nutritional immunology; virology; pathophysiology; mucosal immune system; pulmonary edema</t>
  </si>
  <si>
    <t>CORONAVIRUS DISEASE 2019; HIGH-SALT INTAKE; CARDIOVASCULAR-DISEASE; MITOCHONDRIAL-DNA; EXTRACELLULAR VESICLES; SEASONAL-VARIATION; MIGRAINE HISTORY; SEVERE HEADACHE; INFLUENZA; INFECTION</t>
  </si>
  <si>
    <t>Dietary factors in the etiology of COVID-19 are understudied. High dietary sodium intake leading to sodium toxicity is associated with comorbid conditions of COVID-19 such as hypertension, kidney disease, stroke, pneumonia, obesity, diabetes, hepatic disease, cardiac arrhythmias, thrombosis, migraine, tinnitus, Bell's palsy, multiple sclerosis, systemic sclerosis, and polycystic ovary syndrome. This article synthesizes evidence from epidemiology, pathophysiology, immunology, and virology literature linking sodium toxicological mechanisms to COVID-19 and SARS-CoV-2 infection. Sodium toxicity is a modifiable disease determinant that impairs the mucociliary clearance of virion aggregates in nasal sinuses of the mucosal immune system, which may lead to SARS-CoV-2 infection and viral sepsis. In addition, sodium toxicity causes pulmonary edema associated with severe acute respiratory syndrome, as well as inflammatory immune responses and other symptoms of COVID-19 such as fever and nasal sinus congestion. Consequently, sodium toxicity potentially mediates the association of COVID-19 pathophysiology with SARS-CoV-2 infection. Sodium dietary intake also increases in the winter, when sodium losses through sweating are reduced, correlating with influenza-like illness outbreaks. Increased SARS-CoV-2 infections in lower socioeconomic classes and among people in government institutions are linked to the consumption of foods highly processed with sodium. Interventions to reduce COVID-19 morbidity and mortality through reduced-sodium diets should be explored further.</t>
  </si>
  <si>
    <t>[Brown, Ronald B.] Univ Waterloo, Sch Publ Hlth Sci, Waterloo, ON N2L 3G1, Canada</t>
  </si>
  <si>
    <t>University of Waterloo</t>
  </si>
  <si>
    <t>Brown, RB (corresponding author), Univ Waterloo, Sch Publ Hlth Sci, Waterloo, ON N2L 3G1, Canada.</t>
  </si>
  <si>
    <t>r26brown@uwaterloo.ca</t>
  </si>
  <si>
    <t>Brown, Ronald/0000-0002-9473-2274</t>
  </si>
  <si>
    <t>10.3390/medicina57080739</t>
  </si>
  <si>
    <t>WOS:000689605000001</t>
  </si>
  <si>
    <t>Andrianova, IA; Ponomareva, AA; Mordakhanova, ER; Le Minh, G; Daminova, AG; Nevzorova, TA; Rauova, L; Litvinov, RI; Weisel, JW</t>
  </si>
  <si>
    <t>Andrianova, Izabella A.; Ponomareva, Anastasiya A.; Mordakhanova, Elmira R.; Le Minh, Giang; Daminova, Amina G.; Nevzorova, Tatiana A.; Rauova, Lubica; Litvinov, Rustem I.; Weisel, John W.</t>
  </si>
  <si>
    <t>In systemic lupus erythematosus anti-dsDNA antibodies can promote thrombosis through direct platelet activation</t>
  </si>
  <si>
    <t>JOURNAL OF AUTOIMMUNITY</t>
  </si>
  <si>
    <t>Systemic lupus erythematosus; Thrombosis; anti-dsDNA-antibodies; Platelet</t>
  </si>
  <si>
    <t>DNA ANTIBODIES; FC-RECEPTOR; PATHOGENESIS; HEPARIN; PATHWAY; SEPTIN; RISK; LINK; PF4</t>
  </si>
  <si>
    <t>Systemic lupus erythematosus (SLE) is associated with a high risk of venous and arterial thrombosis, not necessarily associated with prothrombotic antiphospholipid antibodies (Abs). Alternatively, thrombosis may be due to an increased titer of anti-dsDNA Abs that presumably promote thrombosis via direct platelet activation. Here, we investigated effects of purified anti-dsDNA Abs from the blood of SLE patients, alone or in a complex with dsDNA, on isolated normal human platelets. We showed that anti-dsDNA Abs and anti-dsDNA Ab/dsDNA complexes induced strong platelet activation assessed by enhanced P-selectin expression and dramatic morphological and ultrastructural changes. Electron microscopy revealed a significantly higher percentage of platelets that lost their discoid shape, formed multiple filopodia and had a shrunken body when treated with anti-dsDNA Abs or anti-dsDNA Ab/dsDNA complexes compared with control samples. In addition, these platelets activated with anti-dsDNA Ab/dsDNA complexes typically contained a reduced number of secretory alpha-granules that grouped in the middle and often merged into a solid electron dense area. Many activated platelets released plasma membrane-derived microvesicles and/or fell apart into subcellular cytoplasmic fragments. Confocal microscopy revealed that platelets treated with anti-dsDNA Ab/dsDNA complex had a heterogeneous distribution of septin2 compared with the homogeneous distribution in control platelets. Structural perturbations were concomitant with mitochondrial depolarization and a decreased content of platelet ATP, indicating energetic exhaustion. Most of the biochemical and morphological changes in platelets induced by anti-dsDNA Abs and anti-dsDNA Ab/dsDNA complexes were prevented by pre-treatment with a monoclonal mAb against Fc gamma RIIA. The aggregate of data indicates that anti-dsDNA Abs alone or in a complex with dsDNA strongly affect platelets via the Fc gamma RIIA receptor. The immune activation of platelets with antinuclear Abs may comprise a prothrombotic mechanism underlying a high risk of thrombotic complications in patients with SLE.</t>
  </si>
  <si>
    <t>Kazan Fed Univ, Inst Fundamental Med &amp; Biol, Kazan, Russia; Russian Acad Sci, Kazan Inst Biochem &amp; Biophys, Kazan Sci Ctr, Kazan, Russia; Childrens Hosp Philadelphia, Philadelphia, PA 19104 USA; Univ Penn, Perelman Sch Med, Philadelphia, PA 19104 USA</t>
  </si>
  <si>
    <t>Kazan Federal University; Russian Academy of Sciences; Kazan Scientific Centre of the Russian Academy of Sciences; Kazan Institute of Biochemistry &amp; Biophysics; University of Pennsylvania; Childrens Hospital of Philadelphia; University of Pennsylvania</t>
  </si>
  <si>
    <t>Weisel, JW (corresponding author), Univ Penn, Dept Cell &amp; Dev Biol, Perelman Sch Med, 421 Curie Blvd,BRB 2-3,Room 1154, Philadelphia, PA 19104 USA.</t>
  </si>
  <si>
    <t>izabella2d@gmail.com; na.ponomareva@mail.ru; elmira.m.m@yandex.ru; mrgiangleminh@gmail.com; aminochka_88@mail.ru; tnevzorova@mail.ru; lubica@email.chop.edu; litvinov@pennmedicine.upenn.edu; weisel@pennmedicine.upenn.edu</t>
  </si>
  <si>
    <t>Andrianova, Izabella/Y-8760-2018; Ponomareva, Anastasia A/I-4640-2014; Litvinov, Rustem/E-5291-2011</t>
  </si>
  <si>
    <t>Andrianova, Izabella/0000-0003-3973-3183; Litvinov, Rustem/0000-0003-0643-1496</t>
  </si>
  <si>
    <t>0896-8411</t>
  </si>
  <si>
    <t>1095-9157</t>
  </si>
  <si>
    <t>10.1016/j.jaut.2019.102355</t>
  </si>
  <si>
    <t>WOS:000514246200003</t>
  </si>
  <si>
    <t>Ou, YH; Zou, S; Goh, WJ; Chong, SY; Venkatesan, G; Wacker, MG; Storm, G; Wang, JW; Czarny, B; Pastorin, G; Woon, ECY</t>
  </si>
  <si>
    <t>Ou, Yi-Hsuan; Zou, Shui; Goh, Wei Jiang; Chong, Suet Yen; Venkatesan, Gopalakrishnan; Wacker, Matthias G.; Storm, Gerrit; Wang, Jiong-Wei; Czarny, Bertrand; Pastorin, Giorgia; Woon, Esther C. Y.</t>
  </si>
  <si>
    <t>Micro cell vesicle technology (mCVT): a novel hybrid system of gene delivery for hard-to-transfect (HTT) cells</t>
  </si>
  <si>
    <t>DNA; NANOVESICLES; POLYPLEXES; EXOSOMES; THERAPY</t>
  </si>
  <si>
    <t>A hybrid gene delivery platform, micro Cell Vesicle Technology (mCVT), produced from the fusion of plasma membranes and cationic lipids, is presently used to improve the transfection efficiency of hard-to-transfect (HTT) cells. The plasma membrane components of mCVTs impart specificity in cellular uptake and reduce cytotoxicity in the transfection process, while the cationic lipids complex with the genetic material and provide structural integrity to mCVTs.</t>
  </si>
  <si>
    <t>[Ou, Yi-Hsuan; Zou, Shui; Goh, Wei Jiang; Venkatesan, Gopalakrishnan; Wacker, Matthias G.; Pastorin, Giorgia; Woon, Esther C. Y.] Natl Univ Singapore, Dept Pharm, Singapore, Singapore; [Goh, Wei Jiang; Pastorin, Giorgia] NUS Grad Sch Integrat Sci &amp; Engn, Ctr Lift Sci CeLS, Singapore, Singapore; [Chong, Suet Yen; Storm, Gerrit; Wang, Jiong-Wei] Natl Univ Singapore, Yong Loo Lin Sch Med, Dept Surg, Singapore, Singapore; [Chong, Suet Yen; Wang, Jiong-Wei] Natl Univ Heart Ctr Singapore NUHCS, Cardiovasc Res Inst CVRI, Singapore, Singapore; [Chong, Suet Yen; Wang, Jiong-Wei] Natl Univ Hlth Syst NUHS, Singapore, Singapore; [Wang, Jiong-Wei] Natl Univ Singapore, Yong Loo Lin Sch Med, Dept Physiol, Singapore, Singapore; [Czarny, Bertrand] Nanyang Technol Univ, Sch Mat Sci &amp; Engn, 50 Nanyang Ave, Singapore 639798, Singapore; [Czarny, Bertrand] Nanyang Technol Univ, Lee Kong Chian Sch Med LKCmed, 50 Nanyang Ave, Singapore 639798, Singapore; [Woon, Esther C. Y.] UCL, Sch Pharm, 29-39 Brunswick Sq, London WC1N 1AX, England; [Storm, Gerrit] Univ Utrecht, Fac Sci, Utrecht Inst Pharmaceut Sci, Dept Pharmaceut, Utrecht, Netherlands; [Storm, Gerrit] Univ Twente, Dept Biomat Sci &amp; Technol, Drienerlolaan 5, NL-7522 NB Enschede, Netherlands</t>
  </si>
  <si>
    <t>National University of Singapore; National University of Singapore; National University of Singapore; National University of Singapore; National University of Singapore; Nanyang Technological University &amp; National Institute of Education (NIE) Singapore; Nanyang Technological University; Nanyang Technological University &amp; National Institute of Education (NIE) Singapore; Nanyang Technological University; University of London; University College London; University of London School of Pharmacy; Utrecht University; University of Twente</t>
  </si>
  <si>
    <t>Pastorin, G; Woon, ECY (corresponding author), Natl Univ Singapore, Dept Pharm, Singapore, Singapore.;Pastorin, G (corresponding author), NUS Grad Sch Integrat Sci &amp; Engn, Ctr Lift Sci CeLS, Singapore, Singapore.;Wang, JW (corresponding author), Natl Univ Singapore, Yong Loo Lin Sch Med, Dept Surg, Singapore, Singapore.;Wang, JW (corresponding author), Natl Univ Heart Ctr Singapore NUHCS, Cardiovasc Res Inst CVRI, Singapore, Singapore.;Wang, JW (corresponding author), Natl Univ Hlth Syst NUHS, Singapore, Singapore.;Wang, JW (corresponding author), Natl Univ Singapore, Yong Loo Lin Sch Med, Dept Physiol, Singapore, Singapore.;Czarny, B (corresponding author), Nanyang Technol Univ, Sch Mat Sci &amp; Engn, 50 Nanyang Ave, Singapore 639798, Singapore.;Czarny, B (corresponding author), Nanyang Technol Univ, Lee Kong Chian Sch Med LKCmed, 50 Nanyang Ave, Singapore 639798, Singapore.;Woon, ECY (corresponding author), UCL, Sch Pharm, 29-39 Brunswick Sq, London WC1N 1AX, England.</t>
  </si>
  <si>
    <t>surwang@nus.edu.sg; bczarny@ntu.edu.sg; phapg@nus.edu.sg; dr.estherwoon@gmail.com</t>
  </si>
  <si>
    <t>Chong, Suet Yen/AAX-9483-2021; Wacker, Matthias/AFQ-4290-2022; Czarny, Bertrand/F-2001-2018; Venkatesan, Gopalakrishnan/ABI-5170-2020; Wang, Jiong-Wei/AAW-9118-2021</t>
  </si>
  <si>
    <t>Chong, Suet Yen/0000-0002-3627-4025; Wacker, Matthias/0000-0002-2789-6463; Czarny, Bertrand/0000-0002-9586-0913; Venkatesan, Gopalakrishnan/0000-0002-9520-473X; Wang, Jiong-Wei/0000-0001-7986-6082; Pastorin, Giorgia/0000-0002-2568-0626</t>
  </si>
  <si>
    <t>10.1039/d0nr03784b</t>
  </si>
  <si>
    <t>WOS:000571342700005</t>
  </si>
  <si>
    <t>Mohr, A; Lyons, M; Deedigan, L; Harte, T; Shaw, G; Howard, L; Barry, F; O'Brien, T; Zwacka, R</t>
  </si>
  <si>
    <t>Mohr, Andrea; Lyons, Mark; Deedigan, Laura; Harte, Tina; Shaw, Georgina; Howard, Linda; Barry, Frank; O'Brien, Tim; Zwacka, Ralf</t>
  </si>
  <si>
    <t>Mesenchymal stem cells expressing TRAIL lead to tumour growth inhibition in an experimental lung cancer model</t>
  </si>
  <si>
    <t>mesenchymal stem cells; TRAIL; lung cancer; apoptosis; adenovirus</t>
  </si>
  <si>
    <t>MARROW STROMAL CELLS; ADENOVIRAL VECTORS; BONE-MARROW; HORIZONTAL TRANSFER; GENE-TRANSFER; APOPTOSIS; MICROVESICLES; RESISTANCE; DELIVERY; PROLIFERATION</t>
  </si>
  <si>
    <t>Lung cancer is a major public health problem in the western world, and gene therapy strategies to tackle this disease systemically are often impaired by inefficient delivery of the vector to the tumour tissue. Some of the main factors inhibiting systemic delivery are found in the blood stream in the form of red and white blood cells (WBCs) and serum components. Mesenchymal stem cells (MSCs) have been shown to home to tumour sites and could potentially act as a shield and vehicle for a tumouricidal gene therapy vector. Here, we describe the ability of an adenoviral vector expressing TRAIL (Ad.TR) to transduce MSCs and show the apoptosis-inducing activity of these TRAIL-carrying MSCs on A549 lung carcinoma cells. Intriguingly, using MSCs transduced with Ad.enhanced-green-fluorescent-protein (EGFP) we could show transfer of viral DNA to cocultured A549 cells resulting in transgenic protein production in these cells, which was not inhibited by exposure of MSCs to human serum containing high levels of adenovirus neutralizing antibodies. Furthermore, Ad.TR-transduced MSCs were shown not to induce T-cell proliferation, which may have resulted in cytotoxic T-cell-mediated apoptosis induction in the Ad.TR-transduced MSCs. Apoptosis was also induced in A549 cells by Ad.TR-transduced MSCs in the presence of physiological concentrations of WBC, erythrocytes and sera from human donors that inhibit or neutralize adenovirus alone. Moreover, we could show tumour growth reduction with TRAIL-loaded MSCs in an A549 xenograft mouse model. This is the first study that demonstrates the potential therapeutic utility of Ad.TR-transduced MSCs in cancer cells and the stability of this vector in the context of the blood environment.</t>
  </si>
  <si>
    <t>[Mohr, Andrea; Deedigan, Laura; Zwacka, Ralf] Natl Univ Ireland, NCBES, Mol Therapeut Grp, Galway, Ireland; [Lyons, Mark; Harte, Tina; Shaw, Georgina; Howard, Linda; Barry, Frank; O'Brien, Tim; Zwacka, Ralf] Natl Univ Ireland, NCBES, REMEDI, Galway, Ireland; [O'Brien, Tim] Natl Univ Ireland, Dept Med, Galway, Ireland</t>
  </si>
  <si>
    <t>Ollscoil na Gaillimhe-University of Galway; Ollscoil na Gaillimhe-University of Galway; Ollscoil na Gaillimhe-University of Galway</t>
  </si>
  <si>
    <t>Zwacka, R (corresponding author), Natl Univ Ireland, NCBES, Mol Therapeut Grp, Univ Rd, Galway, Ireland.</t>
  </si>
  <si>
    <t>ralf.zwacka@nuigalway.ie</t>
  </si>
  <si>
    <t>Howard, Linda/B-2463-2009; O'Brien, Timothy/N-7112-2014; Barry, Frank P/K-5960-2013</t>
  </si>
  <si>
    <t>O'Brien, Timothy/0000-0001-9028-5481; HOWARD, LINDA/0000-0003-4760-7996; Mohr, Andrea/0000-0002-4295-0341; Zwacka, Ralf/0000-0003-2821-0387</t>
  </si>
  <si>
    <t>6B</t>
  </si>
  <si>
    <t>10.1111/j.1582-4934.2008.00317.x</t>
  </si>
  <si>
    <t>WOS:000262311700009</t>
  </si>
  <si>
    <t>Adler, G; Blumwald, E; Bar-Zvi, D</t>
  </si>
  <si>
    <t>Adler, Guy; Blumwald, Eduardo; Bar-Zvi, Dudy</t>
  </si>
  <si>
    <t>The sugar beet gene encoding the sodium/proton exchanger 1 (BvNHX1) is regulated by a MYB transcription factor</t>
  </si>
  <si>
    <t>PLANTA</t>
  </si>
  <si>
    <t>Abiotic stress; Arabidopsis; Beta vulgaris; MYB; NHX; Promoter activity; Sodium/proton exchanger; Sugar beet</t>
  </si>
  <si>
    <t>VACUOLAR NA+/H+ ANTIPORTER; SALT-STRESS; TONOPLAST VESICLES; ION HOMEOSTASIS; ABIOTIC STRESS; ABSCISIC-ACID; ARABIDOPSIS; EXPRESSION; TOLERANCE; RESPONSES</t>
  </si>
  <si>
    <t>Sodium/proton exchangers (NHX) are key players in the plant response to salinity and have a central role in establishing ion homeostasis. NHXs can be localized in the tonoplast or plasma membranes, where they exchange sodium ions for protons, resulting in sodium ions being removed from the cytosol into the vacuole or extracellular space. The expression of most plant NHX genes is modulated by exposure of the organisms to salt stress or water stress. We explored the regulation of the vacuolar NHX1 gene from the salt-tolerant sugar beet plant (BvNHX1) using Arabidopsis plants transformed with an array of constructs of BvHNX1::GUS, and the expression patterns were characterized using histological and quantitative assays. The 5' UTR of BvNHX1, including its intron, does not modulate the activity of the promoter. Serial deletions show that a 337 bp promoter fragment sufficed for driving activity that indistinguishable from that of the full-length (2,464 bp) promoter. Mutating four putative cis-acting elements within the 337 bp promoter fragment revealed that MYB transcription factor(s) are involved in the activation of the expression of BvNHX1 upon exposure to salt and water stresses. Gel mobility shift assay confirmed that the WT but not the mutated MYB binding site is bound by nuclear protein extracted from salt-stressed Beta vulgaris leaves.</t>
  </si>
  <si>
    <t>[Adler, Guy; Bar-Zvi, Dudy] Ben Gurion Univ Negev, Doris &amp; Bertie Black Ctr Bioenerget Life Sci, Dept Life Sci, IL-84105 Beer Sheva, Israel; [Blumwald, Eduardo] Univ Calif Davis, Dept Plant Sci, Davis, CA 95616 USA</t>
  </si>
  <si>
    <t>Ben Gurion University; University of California System; University of California Davis</t>
  </si>
  <si>
    <t>Bar-Zvi, D (corresponding author), Ben Gurion Univ Negev, Doris &amp; Bertie Black Ctr Bioenerget Life Sci, Dept Life Sci, IL-84105 Beer Sheva, Israel.</t>
  </si>
  <si>
    <t>barzvi@bgu.ac.il</t>
  </si>
  <si>
    <t>Blumwald, Eduardo/Y-2751-2019</t>
  </si>
  <si>
    <t>Bar-Zvi, Dudy/0000-0003-1546-1726</t>
  </si>
  <si>
    <t>0032-0935</t>
  </si>
  <si>
    <t>1432-2048</t>
  </si>
  <si>
    <t>10.1007/s00425-010-1160-7</t>
  </si>
  <si>
    <t>Plant Sciences</t>
  </si>
  <si>
    <t>WOS:000277792700016</t>
  </si>
  <si>
    <t>Moreno-Traspas, R; Vujic, I; Sanlorenzo, M; Ortiz-Urda, S</t>
  </si>
  <si>
    <t>Moreno-Traspas, Ricardo; Vujic, Igor; Sanlorenzo, Martina; Ortiz-Urda, Susana</t>
  </si>
  <si>
    <t>New insights in melanoma biomarkers: long-noncoding RNAs</t>
  </si>
  <si>
    <t>MELANOMA MANAGEMENT</t>
  </si>
  <si>
    <t>biomarkers; cancer; lncRNAs; melanoma</t>
  </si>
  <si>
    <t>AMERICAN JOINT COMMITTEE; CIRCULATING TUMOR DNA; C-REACTIVE PROTEIN; CANCER STAGE-IV; SERUM-LEVELS; INHIBITING ACTIVITY; CUTANEOUS MELANOMA; PROGNOSTIC VALUE; S-100 PROTEIN; FOLLOW-UP</t>
  </si>
  <si>
    <t>Melanoma is one of the leading cancers worldwide, distinguished for its malignancy and low survival rates. Although the poor outcome could improve with an early diagnosis and a good monitoring of the disease, current melanoma biomarkers display several limitations which make them useless. Interestingly, long-noncoding RNAs are secreted into the bloodstream inside exosomes by a wide range of malignant cells, and several of them have been validated as promising circulating molecular signatures of other tumors, but not melanoma. In this review we propose to explore the booming field of long-noncoding RNAs in order to find potential candidates to be tested as novel melanoma biomarkers, with the ultimate goal of improving melanoma detection, diagnosis and prognosis.</t>
  </si>
  <si>
    <t>[Moreno-Traspas, Ricardo; Vujic, Igor; Sanlorenzo, Martina; Ortiz-Urda, Susana] Univ Calif San Francisco, Dept Dermatol, Mt Zion Canc Res Ctr, 2340 Sutter St N461, San Francisco, CA 94115 USA; [Vujic, Igor] Med Univ Vienna, Dept Dermatol, Acad Teaching Hosp, Rudolfstiftung Hosp, Juchgasse 25, A-1030 Vienna, Austria; [Sanlorenzo, Martina] Univ Turin, Dermatol Sect, Dept Med Sci, I-10124 Turin, Italy</t>
  </si>
  <si>
    <t>University of California System; University of California San Francisco; UCSF Medical Center; UCSF Medical Center at Mount Zion; Medical University of Vienna; Rudolfstiftung Hospital; University of Turin</t>
  </si>
  <si>
    <t>Ortiz-Urda, S (corresponding author), Univ Calif San Francisco, Dept Dermatol, Mt Zion Canc Res Ctr, 2340 Sutter St N461, San Francisco, CA 94115 USA.</t>
  </si>
  <si>
    <t>susana.ortiz@ucsf.edu</t>
  </si>
  <si>
    <t>Moreno Traspas, Ricardo/0000-0003-2607-107X; Sanlorenzo, Martina/0000-0003-4371-9034</t>
  </si>
  <si>
    <t>2045-0885</t>
  </si>
  <si>
    <t>2045-0893</t>
  </si>
  <si>
    <t>10.2217/mmt-2016-0008</t>
  </si>
  <si>
    <t>WOS:000393637000006</t>
  </si>
  <si>
    <t>Yang, HT; Sun, BB; Fan, LW; Ma, WY; Xu, K; Hall, SRR; Wang, ZX; Schmid, RA; Peng, RW; Marti, TM; Gao, W; Xu, JL; Yang, WW; Yao, F</t>
  </si>
  <si>
    <t>Yang, Haitang; Sun, Beibei; Fan, Liwen; Ma, Wenyan; Xu, Ke; Hall, Sean R. R.; Wang, Zhexin; Schmid, Ralph A.; Peng, Ren-Wang; Marti, Thomas M.; Gao, Wen; Xu, Jianlin; Yang, Weiwei; Yao, Feng</t>
  </si>
  <si>
    <t>Multi-scale integrative analyses identify THBS2+cancer-associated fibroblasts as a key orchestrator promoting aggressiveness in early-stage lung adenocarcinoma</t>
  </si>
  <si>
    <t>early-stage lung adenocarcinoma; THBS2; exosome; cancer-associated fibroblast; immunotherapy</t>
  </si>
  <si>
    <t>ADJUVANT CHEMOTHERAPY; GENE-EXPRESSION; DNA METHYLATION; MESSENGER-RNA; TUMOR-CELLS; CANCER; CLASSIFICATION; ASSOCIATION; SURVIVAL; RECURRENCE</t>
  </si>
  <si>
    <t>Rationale: Subsets of patients with early-stage lung adenocarcinoma (LUAD) have a poor post-surgical course after curative surgery. However, biomarkers stratifying this high-risk subset and molecular underpinnings underlying the aggressive phenotype remain unclear. Methods: We integrated bulk and single-cell transcriptomics, proteomics, secretome and spatial profiling of clinical early-stage LUAD samples to identify molecular underpinnings that promote the aggressive phenotype. Results: We identified and validated THBS2, at multi-omic levels, as a tumor size-independent biomarker that robustly predicted post-surgical survival in multiple independent clinical cohorts of early-stage LUAD. Furthermore, scRNA-seq data revealed that THBS2 is exclusively derived from a specific cancer-associated fibroblast (CAF) subset that is distinct from CAFs defined by classical markers. Interestingly, our data demonstrated that THBS2 was preferentially secreted via exosomes in early-stage LUAD tumors with high aggressiveness, and its levels in the peripheral plasma associated with short recurrence-free survival. Further characterization showed that THBS2-high early-stage LUAD was characterized by suppressed antitumor immunity. Specifically, beyond tumor cells, THBS2+ CAFs mainly interact with B and CD8+ T lymphocytes as well as macrophages within tumor microenvironment of early-stage LUAD, and THBS2-high LUAD was associated with decreased immune cell infiltrates but increased immune exhaustion marker. Clinically, high THBS2 expression predicted poor response to immunotherapies and short post-treatment survival of patients. Finally, THBS2 recombinant protein suppressed ex vivo T cells proliferation and promoted in vivo LUAD tumor growth and distant micro-metastasis. Conclusions: Our multi-level analyses uncovered tumor-specific THBS2+ CAFs as a key orchestrator promoting aggressiveness in early-stage LUAD.</t>
  </si>
  <si>
    <t>[Yang, Haitang; Fan, Liwen; Xu, Ke; Wang, Zhexin; Yao, Feng] Shanghai Jiao Tong Univ, Shanghai Chest Hosp, Dept Thorac Surg, Shanghai 200030, Peoples R China; [Sun, Beibei] Shanghai Jiao Tong Univ, Shanghai Chest Hosp, Inst Thorac Oncol, Shanghai 200030, Peoples R China; [Ma, Wenyan] Shanghai Jiao Tong Univ, Shanghai Chest Hosp, Clin Res Ctr, Shanghai 200030, Peoples R China; [Hall, Sean R. R.] Harvard Univ, Wyss Inst Biol Inspired Engn, Cambridge, MA 02138 USA; [Schmid, Ralph A.; Peng, Ren-Wang; Marti, Thomas M.] Univ Bern, Bern Univ Hosp, Dept BioMed Res DBMR, Div Gen Thorac Surg,Inselspital, CH-3010 Bern, Switzerland; [Gao, Wen] FuDan Univ, Dept Thorac Surg, Huadong Hosp, Shanghai, Peoples R China; [Xu, Jianlin] Jiao Tong Univ, Shanghai Chest Hosp, Dept Resp Med, Shanghai 200030, Peoples R China; [Yang, Weiwei] Univ Chinese Acad Sci, Sch Life Sci, Hangzhou Inst Adv Study, Hangzhou 310024, Peoples R China</t>
  </si>
  <si>
    <t>Shanghai Jiao Tong University; Shanghai Jiao Tong University; Shanghai Jiao Tong University; Harvard University; University of Bern; University Hospital of Bern; Fudan University; Shanghai Jiao Tong University; Chinese Academy of Sciences; University of Chinese Academy of Sciences, CAS</t>
  </si>
  <si>
    <t>Yao, F (corresponding author), Shanghai Jiao Tong Univ, Shanghai Chest Hosp, Dept Thorac Surg, Shanghai 200030, Peoples R China.;Xu, JL (corresponding author), Jiao Tong Univ, Shanghai Chest Hosp, Dept Resp Med, Shanghai 200030, Peoples R China.;Yang, WW (corresponding author), Univ Chinese Acad Sci, Sch Life Sci, Hangzhou Inst Adv Study, Hangzhou 310024, Peoples R China.</t>
  </si>
  <si>
    <t>xujianlin1018@163.com; wyang@sibcb.ac.cn; yaofeng@shsmu.edu.cn</t>
  </si>
  <si>
    <t>10.7150/thno.69590</t>
  </si>
  <si>
    <t>WOS:000786579800007</t>
  </si>
  <si>
    <t>Fiorillo, AA; Heier, CR; Huang, YF; Tully, CB; Punga, T; Punga, AR</t>
  </si>
  <si>
    <t>Fiorillo, Alyson A.; Heier, Christopher R.; Huang, Yu-Fang; Tully, Christopher B.; Punga, Tanel; Punga, Anna Rostedt</t>
  </si>
  <si>
    <t>Estrogen Receptor, Inflammatory, and FOXO Transcription Factors Regulate Expression of Myasthenia Gravis-Associated Circulating microRNAs</t>
  </si>
  <si>
    <t>microRNA; myasthenia gravis; estradiol; miR-21-5p; NF-kappa B; FOXO</t>
  </si>
  <si>
    <t>T-CELLS; KAPPA-B; THYMUS; ACTIVATION; MECHANISMS; MIR-150-5P; BINDING; MUSK</t>
  </si>
  <si>
    <t>MicroRNAs (miRNAs) are small non-coding RNA molecules that regulate important intracellular biological processes. In myasthenia gravis (MG), a disease-specific pattern of elevated circulating miRNAs has been found, and proposed as potential biomarkers. These elevated miRNAs include miR-150-5p, miR-21-5p, and miR-30e-5p in acetylcholine receptor antibody seropositive (AChR+) MG and miR-151a-3p, miR-423-5p, let-7a-5p, and let-7f-5p in muscle-specific tyrosine kinase antibody seropositive (MuSK+) MG. In this study, we examined the regulation of each of these miRNAs using chromatin immunoprecipitation sequencing (ChIP-seq) data from the Encyclopedia of DNA Elements (ENCODE) to gain insight into the transcription factor pathways that drive their expression in MG. Our aim was to look at the transcription factors that regulate miRNAs and then validate some of those in vivo with cell lines that have sufficient expression of these transcription factors This analysis revealed several transcription factor families that regulate MG-specific miRNAs including the Forkhead box or the FOXO proteins (FoxA1, FoxA2, FoxM1, FoxP2), AP-1, interferon regulatory factors (IRF1, IRF3, IRF4), and signal transducer and activator of transcription proteins (Stat1, Stat3, Stat5a). We also found binding sites for nuclear factor of activated T-cells (NFATC1), nuclear factor kappa-light-chain-enhancer of activated B cells (NF-kappa B), early growth response factor (EGR1), and the estrogen receptor 1 (ESR1). AChR+ MG miRNAs showed a stronger overall regulation by the FOXO transcription factors, and of this group, miR-21-5p, let-7a, and let 7f were found to possess ESR1 binding sites. Using a murine macrophage cell line, we found activation of NF-kappa B -mediated inflammation by LPS induced expression of miR-21-5p, miR-30e-5p, miR-423-5p, let-7a, and let-7f. Pre-treatment of cells with the anti-inflammatory drugs prednisone or deflazacort attenuated induction of inflammation-induced miRNAs. Interestingly, the activation of inflammation induced packaging of the AChR+-specific miRNAs miR-21-5p and miR-30e-5p into exosomes, suggesting a possible mechanism for the elevation of these miRNAs in MG patient serum. In conclusion, our study summarizes the regulatory transcription factors that drive expression of AChR+ and MuSK+ MG-associated miRNAs. Our findings of elevated miR-21-5p and miR-30e-5p expression in immune cells upon inflammatory stimulation and the suppressive effect of corticosteroids strengthens the putative role of these miRNAs in the MG autoimmune response.</t>
  </si>
  <si>
    <t>[Fiorillo, Alyson A.; Heier, Christopher R.; Tully, Christopher B.] Childrens Res Inst, Ctr Genet Med Res, Washington, DC USA; [Fiorillo, Alyson A.; Heier, Christopher R.] George Washington Univ, Genom &amp; Precis Med, Washington, DC USA; [Huang, Yu-Fang; Punga, Anna Rostedt] Uppsala Univ, Dept Neurosci Clin Neurophysiol, Uppsala, Sweden; [Punga, Tanel] Uppsala Univ, Dept Med Biochem &amp; Microbiol, Uppsala, Sweden</t>
  </si>
  <si>
    <t>George Washington University; Uppsala University; Uppsala University</t>
  </si>
  <si>
    <t>Punga, AR (corresponding author), Uppsala Univ, Dept Neurosci Clin Neurophysiol, Uppsala, Sweden.</t>
  </si>
  <si>
    <t>anna.rostedt.punga@neuro.uu.se</t>
  </si>
  <si>
    <t>Fiorillo, Alyson/0000-0003-3458-8036; Heier, Christopher/0000-0001-7914-2068</t>
  </si>
  <si>
    <t>10.3389/fimmu.2020.00151</t>
  </si>
  <si>
    <t>WOS:000523699300001</t>
  </si>
  <si>
    <t>Tosoian, JJ; Ross, AE; Sokoll, LJ; Partin, AW; Pavlovich, CP</t>
  </si>
  <si>
    <t>Tosoian, Jeffrey J.; Ross, Ashley E.; Sokoll, Lori J.; Partin, Alan W.; Pavlovich, Christian P.</t>
  </si>
  <si>
    <t>Urinary Biomarkers for Prostate Cancer</t>
  </si>
  <si>
    <t>UROLOGIC CLINICS OF NORTH AMERICA</t>
  </si>
  <si>
    <t>LONG NONCODING RNA; COENZYME-A RACEMASE; CPG ISLAND HYPERMETHYLATION; CELL-FREE DNA; PCA3 SCORE; EXTRACELLULAR VESICLES; RADICAL PROSTATECTOMY; CIRCULATING DNA; HEALTH INDEX; BIOCHEMICAL RECURRENCE</t>
  </si>
  <si>
    <t>In light of the overdiagnosis and overtreatment associated with widespread prostate-specific antigen based screening, controversy persists surrounding the detection and diagnosis of prostate cancer (PCa). Given its anatomic proximity to the prostate, urine has been proposed as a noninvasive substrate for prostatic biomarkers. With greater understanding of the molecular pathways of carcinogenesis and significant technological advances, the breadth of potential biomarkers is substantial. In this review, the authors aim to provide an evidence-based assessment of current and emerging urinary biomarkers used in the detection and prognostication of PCa and high-grade PCa, with particular attention on clinically relevant findings.</t>
  </si>
  <si>
    <t>[Tosoian, Jeffrey J.; Ross, Ashley E.; Partin, Alan W.; Pavlovich, Christian P.] Johns Hopkins Med Inst, Dept Urol, James Buchanan Brady Urol Inst, Baltimore, MD 21287 USA; [Sokoll, Lori J.] Johns Hopkins Med Inst, Dept Pathol, Baltimore, MD 21287 USA</t>
  </si>
  <si>
    <t>Tosoian, JJ (corresponding author), Johns Hopkins Univ Hosp, Dept Urol, Marburg 144,600 North Wolfe St, Baltimore, MD 21287 USA.</t>
  </si>
  <si>
    <t>jt@jhmi.edu</t>
  </si>
  <si>
    <t>Wei, John T/E-8967-2012; Tosoian, Jeffrey/O-1563-2019</t>
  </si>
  <si>
    <t>Tosoian, Jeffrey/0000-0002-7614-9931</t>
  </si>
  <si>
    <t>0094-0143</t>
  </si>
  <si>
    <t>1558-318X</t>
  </si>
  <si>
    <t>10.1016/j.ucl.2015.08.003</t>
  </si>
  <si>
    <t>WOS:000366960600005</t>
  </si>
  <si>
    <t>He, DG; Hai, L; Wang, HZ; Wu, R; Li, HW</t>
  </si>
  <si>
    <t>He, Dinggeng; Hai, Luo; Wang, Huizhen; Wu, Ri; Li, Hung-Wing</t>
  </si>
  <si>
    <t>Enzyme-free quantification of exosomal microRNA by the target-triggered assembly of the polymer DNAzyme nanostructure</t>
  </si>
  <si>
    <t>CANCER; CELLS; AMPLIFICATION; MICROVESICLES; DISEASES; RNAS; DNA</t>
  </si>
  <si>
    <t>We herein report an efficient hybridization chain reaction (HCR)and DNAzyme-based enzyme-free signal amplification for the detection of specific exosomal miRNAs in the culture medium of cancer cells and serum samples from cancer patients via the target-triggered self-assembly of the polymer DNAzyme nanostructure.</t>
  </si>
  <si>
    <t>[He, Dinggeng; Li, Hung-Wing] Hong Kong Baptist Univ, Dept Chem, Kowloon Tong, Hong Kong, Peoples R China; [He, Dinggeng; Hai, Luo; Wang, Huizhen; Wu, Ri] Hunan Univ, Coll Chem &amp; Chem Engn, State Key Lab Chemo Biosensing &amp; Chemometr, Changsha 410082, Hunan, Peoples R China</t>
  </si>
  <si>
    <t>Li, HW (corresponding author), Hong Kong Baptist Univ, Dept Chem, Kowloon Tong, Hong Kong, Peoples R China.</t>
  </si>
  <si>
    <t>hwli@hkbu.edu.hk</t>
  </si>
  <si>
    <t>Hai, Luo/ABE-5483-2020</t>
  </si>
  <si>
    <t>10.1039/c7an01691c</t>
  </si>
  <si>
    <t>WOS:000424908000003</t>
  </si>
  <si>
    <t>Ghazizadeh, E; Naseri, Z; Jaafari, MR; Forozandeh-Moghadam, M; Hosseinkhani, S</t>
  </si>
  <si>
    <t>Ghazizadeh, Elham; Naseri, Zahra; Jaafari, Mahmoud Reza; Forozandeh-Moghadam, Mehdi; Hosseinkhani, Saman</t>
  </si>
  <si>
    <t>A fires novel report of exosomal electrochemical sensor for sensing micro RNAs by using multi covalent attachment p19 with high sensitivity</t>
  </si>
  <si>
    <t>Exosome; Natural spherical structure; Solid surface; MiR sensing; Electrochemical</t>
  </si>
  <si>
    <t>LABEL FREE DNA; DRUG-DELIVERY; PROTEIN P19; CANCER; COMPOSITE; PLASMA</t>
  </si>
  <si>
    <t>Exosomes are natural spherical phospholipids vesicles derived from cells. Dropping MCF-7 exosome (with high biomarkers as exosomal case) covalently onto the SCPE-GNP causes the sensor to be stable due to the electro-chemical induction of positive charges of different biomarkers with [Fe(CN)6](-3/-4) reactions. In the following, the covalent p19 connection with the biomarkers of exosome turns off the sensor. After adding the hybrid of miR21-probe, its tight coupling to p19 has reestablished the system. As a result, this sensor has been able to detect miR21 with high sensitivity and specificity. For the first time, the exosomal electrochemical properties were proven as the electrochemical amplifier bed. The limit of detection (LOD) was 1 a.M. due to the existence of various biomarkers for connecting covalent to p19. Electrochemical impedance (EIS) and differential pulse voltammetry (DPV) are used for miR sensing on the MCF-7 exosome-p19 composite. Transmission Electron Microscopy (TEM), Atomic Force Microscopy (AFM), Dynamic Light Scattering (DLS) and Ultraviolet Visible (UV) spectroscopic techniques are used to understand the interactions between each layer. These vesicles can be used as a natural source for biocompatible devices that are used in transfection using an electrochemical method at a cost-effective and high-performance basis.</t>
  </si>
  <si>
    <t>[Ghazizadeh, Elham; Naseri, Zahra] Mashhad Univ Med Sci, Sch Med, Dept Med Biotechnol, Mashhad, Iran; [Jaafari, Mahmoud Reza] Mashhad Univ Med Sci, Biotechnol Res Ctr, Nanotechnol Res Ctr, Sch Pharm, Mashhad, Iran; [Forozandeh-Moghadam, Mehdi] Tarbiat Modares Univ, Fac Med Sci, Dept Med Biotechnol, Tehran, Iran; [Hosseinkhani, Saman] Tarbiat Modares Univ, Fac Biol Sci, Dept Biochem, Tehran, Iran</t>
  </si>
  <si>
    <t>Mashhad University Medical Science; Mashhad University Medical Science; Tarbiat Modares University; Tarbiat Modares University</t>
  </si>
  <si>
    <t>Hosseinkhani, S (corresponding author), Tarbiat Modares Univ, Fac Biol Sci, Dept Biochem, Tehran, Iran.</t>
  </si>
  <si>
    <t>saman_h@modares.ac.ir</t>
  </si>
  <si>
    <t>Hosseinkhani, Saman/0000-0002-0345-7909</t>
  </si>
  <si>
    <t>10.1016/j.bios.2018.04.023</t>
  </si>
  <si>
    <t>WOS:000434750100010</t>
  </si>
  <si>
    <t>Zhou, MH; Mao, YH; Yu, SL; Li, YP; Yin, R; Zhang, Q; Lu, TY; Sun, R; Lin, SF; Qian, YY; Xu, Y; Fan, H</t>
  </si>
  <si>
    <t>Zhou, Menghan; Mao, Yuhang; Yu, Shenling; Li, Yiping; Yin, Rong; Zhang, Qin; Lu, Tianyu; Sun, Rui; Lin, Shaofeng; Qian, Yanyan; Xu, Ying; Fan, Hong</t>
  </si>
  <si>
    <t>LINC00673 Represses CDKN2C and Promotes the Proliferation of Esophageal Squamous Cell Carcinoma Cells by EZH2-Mediated H3K27 Trimethylation</t>
  </si>
  <si>
    <t>ESCC; LINC00673; CDKN2C; cell cycle</t>
  </si>
  <si>
    <t>LONG NONCODING RNAS; EXTRACELLULAR VESICLES; TUMOR MICROENVIRONMENT; EZH2; OVEREXPRESSION; METHYLATIONS; EXPRESSION; GENES; DNMT1</t>
  </si>
  <si>
    <t>Long non-coding RNAs (lncRNAs), some of the most abundant epigenetic regulators, play an important role in esophageal squamous cell carcinoma (ESCC). In the current study, the functions and mechanisms of the lncRNA LINC00673 were investigated. The expression levels of LINC00673 and its potential target genes were assessed by quantitative real-time polymerase chain reaction (qPCR) in ESCC surgical specimens and ESCC cell lines. RNA fluorescencein situhybridization (RNA FISH) was employed to detect the subcellular location and the levels of LINC00673 in ESCC samples from patients with different survival times. LINC00673 function in ESCC carcinogenesis was also evaluatedin vivoandin vitro. Cell cycle synchronization was performed using serum withdrawal; the cell cycle was monitored by fluorescence analysis and cellular DNA was detected by flow cytometry. The molecular mechanisms underlying LINC00673 were exploredviaWestern blotting, chromatin immunoprecipitation (ChIP), and ChIP-PCR. Up-regulated LINC00673 was associated with poor prognosis in ESCC patients and promoted the proliferation of ESCC cells bothin vitroandin vivo. Compared to the control group, depletion of LINC00673 in ESCC cells arrested the cell cycle, at least, at the G1/S checkpoint. Knockdown of LINC00673 significantly enhanced posttranscriptional expression of CDKN2C, and histone 3 lysine 27 trimethylation (H3K27me3) was enriched at the promoter region ofCDKN2C. After inhibiting EZH2, the CDKN2C expression levels were increased. The present findings are the first to reveal that LINC00673 represses CDKN2C expression and promotes ESCC cell proliferation by elevating EZH2-mediated H3K27me3 levels. These data suggest that LINC00673 regulates the cell cycle in ESCC and that it is a promising target for clinical therapy.</t>
  </si>
  <si>
    <t>[Zhou, Menghan; Lu, Tianyu; Sun, Rui; Qian, Yanyan; Fan, Hong] Southeast Univ, Dept Med Genet &amp; Dev Biol, Key Lab Dev Genes &amp; Human Dis, Minist Educ,Med Sch, Nanjing, Peoples R China; [Zhou, Menghan; Mao, Yuhang; Yu, Shenling; Xu, Ying] Southeast Univ, Sch Life Sci &amp; Technol, Nanjing, Peoples R China; [Li, Yiping] Southeast Univ, Med Sch, Dept Pathol &amp; Pathophysiol, Nanjing, Peoples R China; [Yin, Rong; Zhang, Qin] Nanjing Med Univ, Jiangsu Key Lab Mol &amp; Translat Canc Res, Jiangsu Inst Canc Res,Dept Thorac Surg, Jiangsu Canc Hosp,Affiliated Canc Hosp, Nanjing, Peoples R China; [Lin, Shaofeng] Fujian Canc Hosp, Dept Pathol, Fuzhou, Peoples R China; [Lin, Shaofeng] Fujian Med Univ Canc Hosp, Fuzhou, Peoples R China</t>
  </si>
  <si>
    <t>Southeast University - China; Southeast University - China; Southeast University - China; Nanjing Medical University</t>
  </si>
  <si>
    <t>Fan, H (corresponding author), Southeast Univ, Dept Med Genet &amp; Dev Biol, Key Lab Dev Genes &amp; Human Dis, Minist Educ,Med Sch, Nanjing, Peoples R China.</t>
  </si>
  <si>
    <t>fanh@seu.edu.cn</t>
  </si>
  <si>
    <t>AUG 18</t>
  </si>
  <si>
    <t>10.3389/fonc.2020.01546</t>
  </si>
  <si>
    <t>WOS:000567867200001</t>
  </si>
  <si>
    <t>Erturk, B; Karaca, E; Aykut, A; Durmaz, B; Guler, A; Buke, B; Yeniel, AO; Ergenoglu, AM; Ozkinay, F; Ozeren, M; Kazandi, M; Akercan, F; Sagol, S; Gunduz, C; Cogulu, O</t>
  </si>
  <si>
    <t>Erturk, Biray; Karaca, Emin; Aykut, Ayca; Durmaz, Burak; Guler, Ahmet; Buke, Baris; Yeniel, Ahmet Ozgur; Ergenoglu, Ahmet Mete; Ozkinay, Ferda; Ozeren, Mehmet; Kazandi, Mert; Akercan, Fuat; Sagol, Sermet; Gunduz, Cumhur; Cogulu, Ozgur</t>
  </si>
  <si>
    <t>Prenatal Evaluation of MicroRNA Expressions in Pregnancies with Down Syndrome</t>
  </si>
  <si>
    <t>BIOMED RESEARCH INTERNATIONAL</t>
  </si>
  <si>
    <t>ANEUPLOIDY DETECTION; SERUM MICRORNAS; DNA; TRISOMY-21; GENE; RNA; IDENTIFICATION; BIOMARKERS; EXOSOMES; PROFILE</t>
  </si>
  <si>
    <t>Background. Currently, the data available on the utility of miRNAs in noninvasive prenatal testing is insufficient in the literature. We evaluated the expression levels of 14 miRNAs located on chromosome 21 in maternal plasma and their utility in noninvasive prenatal testing of Down Syndrome. Method. A total of 56 patients underwent invasive prenatal testing; 23 cases were carrying Down Syndrome affected fetuses, and 33 control cases carrying unaffected, normal karyotype fetuses were included for comparison. Indications for invasive prenatal testing were advanced maternal age, increased risk of Down Syndrome in screening tests, and abnormal finding in the sonographic examination. In both the study and control groups, all the pregnant women were at 17th and 18th week of gestation. miRNA expression levels were measured using real-time RT-PCR. Results. Significantly increased maternal plasma levels of miR-3156 and miR-99a were found in the women carrying a fetus with Down Syndrome. Conclusion. Our results provide a basis for multicenter studies with larger sample groups and microRNA profiles, particularly with the microRNAs which were found to be variably expressed in our study. Through this clinical research, the utility of microRNAs in noninvasive prenatal testing can be better explored in future studies.</t>
  </si>
  <si>
    <t>[Erturk, Biray; Karaca, Emin; Aykut, Ayca; Durmaz, Burak; Ozkinay, Ferda; Cogulu, Ozgur] Ege Univ, Fac Med, Dept Med Genet, TR-35100 Izmir, Turkey; [Guler, Ahmet; Ozeren, Mehmet] Aegean Matern Teaching &amp; Training Hosp, Dept Obstet &amp; Gynecol, TR-35110 Izmir, Turkey; [Buke, Baris; Yeniel, Ahmet Ozgur; Ergenoglu, Ahmet Mete; Kazandi, Mert; Akercan, Fuat; Sagol, Sermet] Ege Univ, Fac Med, Dept Obstet &amp; Gynecol, TR-35100 Izmir, Turkey; [Gunduz, Cumhur] Ege Univ, Fac Med, Dept Med Biol, TR-35100 Izmir, Turkey</t>
  </si>
  <si>
    <t>Ege University; Izmir Tepecik Training &amp; Research Hospital; Ege University; Ege University</t>
  </si>
  <si>
    <t>Aykut, A (corresponding author), Ege Univ, Fac Med, Dept Med Genet, TR-35100 Izmir, Turkey.</t>
  </si>
  <si>
    <t>aycaaykut@hotmail.com</t>
  </si>
  <si>
    <t>Karahan, Süleyman Caner/AAL-5846-2021; OZEREN, MEHMET/ABI-7832-2020; Gunduz, Cumhur/GOP-0629-2022; Aykut, Ayca/B-1698-2018; AYKUT, Ayça/ABH-6257-2020; Gunduz, Cumhur/C-1243-2014</t>
  </si>
  <si>
    <t>OZEREN, MEHMET/0000-0002-4552-9042; Gunduz, Cumhur/0000-0002-6593-3237; AYKUT, Ayça/0000-0002-1460-0053; Gunduz, Cumhur/0000-0002-6593-3237; Yeniel, Ahmet Ozgur/0000-0002-5604-047X</t>
  </si>
  <si>
    <t>2314-6133</t>
  </si>
  <si>
    <t>2314-6141</t>
  </si>
  <si>
    <t>10.1155/2016/5312674</t>
  </si>
  <si>
    <t>Biotechnology &amp; Applied Microbiology; Medicine, Research &amp; Experimental</t>
  </si>
  <si>
    <t>Biotechnology &amp; Applied Microbiology; Research &amp; Experimental Medicine</t>
  </si>
  <si>
    <t>WOS:000373461800001</t>
  </si>
  <si>
    <t>Taller, D; Richards, K; Slouka, Z; Senapati, S; Hill, R; Go, DB; Chang, HC</t>
  </si>
  <si>
    <t>Taller, Daniel; Richards, Katherine; Slouka, Zdenek; Senapati, Satyajyoti; Hill, Reginald; Go, David B.; Chang, Hsueh-Chia</t>
  </si>
  <si>
    <t>On-chip surface acoustic wave lysis and ion-exchange nanomembrane detection of exosomal RNA for pancreatic cancer study and diagnosis</t>
  </si>
  <si>
    <t>NANOPARTICLE TRACKING ANALYSIS; CHARGE INVERSION; VESICLES; MICRORNAS; CELLS; SERUM; DNA; ULTRACENTRIFUGATION; MICROPARTICLES; SEPARATION</t>
  </si>
  <si>
    <t>There has been increasing evidence that micro and messenger RNA derived from exosomes play important roles in pancreatic and other cancers. In this work, a microfluidics-based approach to the analysis of exosomal RNA is presented based on surface acoustic wave (SAW) exosome lysis and ion-exchange nanomembrane RNA sensing performed in conjunction on two separate chips. Using microRNA hsa-miR-550 as a model target and raw cell media from pancreatic cancer cell lines as a biological sample, SAW-based exosome lysis is shown to have a lysis rate of 38%, and an ion-exchange nanomembrane sensor is shown to have a limit of detection of 2 pM, with two decades of linear dynamic range. A universal calibration curve was derived for the membrane sensor and used to detect the target at a concentration of 13 pM in a SAWlysed sample, which translates to 14 target miRNA per exosome from the raw cell media. At a total analysis time of similar to 1.5 h, this approach is a significant improvement over existing methods that require two overnight steps and 13 h of processing time. The platform also requires much smaller sample volumes than existing technology (similar to 100 mu L as opposed to similar to mL) and operates with minimal sample loss, a distinct advantage for studies involving mouse models or other situations where the working fluid is scarce.</t>
  </si>
  <si>
    <t>[Taller, Daniel; Go, David B.] Univ Notre Dame, Dept Aerosp &amp; Mech Engn, Notre Dame, IN 46556 USA; [Taller, Daniel; Slouka, Zdenek; Senapati, Satyajyoti; Chang, Hsueh-Chia] Univ Notre Dame, Ctr Microfluid &amp; Med Diagnost, Notre Dame, IN 46556 USA; [Richards, Katherine; Hill, Reginald] Univ Notre Dame, Dept Biol Sci, Notre Dame, IN 46556 USA; [Slouka, Zdenek; Senapati, Satyajyoti; Go, David B.; Chang, Hsueh-Chia] Univ Notre Dame, Dept Chem &amp; Biomol Engn, Notre Dame, IN 46556 USA</t>
  </si>
  <si>
    <t>Go, DB (corresponding author), Univ Notre Dame, Dept Aerosp &amp; Mech Engn, Notre Dame, IN 46556 USA.</t>
  </si>
  <si>
    <t>dgo@nd.edu; hchang@nd.edu</t>
  </si>
  <si>
    <t>Hill, Reginald/D-2270-2016; Chang, Hsueh-Chia/E-8048-2012; Slouka, Zdenek/Y-9366-2019; Go, David/A-7019-2013</t>
  </si>
  <si>
    <t>Chang, Hsueh-Chia/0000-0003-2147-9260; Go, David/0000-0001-8948-1442</t>
  </si>
  <si>
    <t>10.1039/c5lc00036j</t>
  </si>
  <si>
    <t>WOS:000351493100007</t>
  </si>
  <si>
    <t>Pradier, A; Ettelaie, C</t>
  </si>
  <si>
    <t>Pradier, Amandine; Ettelaie, Camille</t>
  </si>
  <si>
    <t>The influence of exogenous tissue factor on the regulators of proliferation and apoptosis in endothelial cells</t>
  </si>
  <si>
    <t>JOURNAL OF VASCULAR RESEARCH</t>
  </si>
  <si>
    <t>tissue factor; factor VIIa; cell cycle; apoptosis; cyclin D; Bax protein; endothelial cell</t>
  </si>
  <si>
    <t>PLATELET-DERIVED MICROVESICLES; FACTOR VIIA; IN-VITRO; EXPRESSION; P27(KIP1); BINDING; GENE; ANGIOGENESIS; INHIBITION; ACTIVATION</t>
  </si>
  <si>
    <t>Background: The exposure of tissue factor (TF) at the site of injury or trauma is a rapid process that leads to the initiation of blood coagulation as well as homeostatic processes giving rise to vascular repair. Aims and Methods: By exposing human endothelial cells to combinations of exogenous TF and factor VIIa (FVIIa) in serum-free medium, the influence of TF concentrations on cellular proliferation and apoptosis was investigated. Results: Lower concentrations of TF resulted in increased cellular proliferation as well as upregulation of cyclin D1, downregulation of p21 and p27 and induction of tube formation in vitro. Conversely, incubation with higher concentrations of TF resulted in the activation of caspase3, expression of p53 and Bax, translocation of p53 into the nucleus and induction of DNA fragmentation. Incubation of the cells with TF/FVIIa led to a lower proliferation rate with additional upregulation in p27. Conclusions: TF seems to have a bifunctional role in determining the fate of endothelial cells, depending on the concentration and the interactions of this protein. The release of TF in the locality of the injured tissue makes this protein an ideal factor for ascertaining the level of injury and determining the fate of the cells.</t>
  </si>
  <si>
    <t>Univ Hull, Dept Biol Sci, Biomed Sect, Kingston Upon Hull HU6 7RX, N Humberside, England</t>
  </si>
  <si>
    <t>University of Hull</t>
  </si>
  <si>
    <t>Ettelaie, C (corresponding author), Univ Hull, Dept Biol Sci, Biomed Sect, Cottingham Rd, Kingston Upon Hull HU6 7RX, N Humberside, England.</t>
  </si>
  <si>
    <t>C.Ettelaie@hull.ac.uk</t>
  </si>
  <si>
    <t>1018-1172</t>
  </si>
  <si>
    <t>1423-0135</t>
  </si>
  <si>
    <t>10.1159/000109074</t>
  </si>
  <si>
    <t>Physiology; Peripheral Vascular Disease</t>
  </si>
  <si>
    <t>Physiology; Cardiovascular System &amp; Cardiology</t>
  </si>
  <si>
    <t>WOS:000251436500003</t>
  </si>
  <si>
    <t>Ishikawa, Y; Wu, LNY; Genge, BR; Mwale, F; Wuthier, RE</t>
  </si>
  <si>
    <t>Effects of calcitonin and parathyroid hormone on calcification of primary cultures of chicken growth plate chondrocytes</t>
  </si>
  <si>
    <t>JOURNAL OF BONE AND MINERAL RESEARCH</t>
  </si>
  <si>
    <t>16th Annual Meeting of the American-Society-for-Bone-and-Mineral-Research</t>
  </si>
  <si>
    <t>SEP 09-13, 1994</t>
  </si>
  <si>
    <t>KANSAS CITY, MO</t>
  </si>
  <si>
    <t>ALKALINE-PHOSPHATASE ACTIVITY; PELVIC CARTILAGE INVITRO; EPIPHYSEAL CHONDROCYTES; OVARIECTOMIZED RATS; STIMULATES GROWTH; MATRIX VESICLES; FACTOR-BETA; BONE; SERUM; MINERALIZATION</t>
  </si>
  <si>
    <t>Few studies have been directed toward elucidating the action of calcitonin (CT) and parathyroid hormone (PLH) on growth plate chondrocytes, cells directly involved in longitudinal bone growth and provisional calcification, In this study, primary cultures of avian growth plate chondrocytes that calcify without the supplement of beta-glycerophosphate were used to investigate the effects of synthetic human CT and 1-34 bovine PTH on (1) cell division and growth; (2) the deposition of Ca2+ and inorganic phosphate (Pi); (3) the activity of alkaline phosphatase (AP), an enzyme long associated with the mineralization process; (4) the levels of proteoglycans; and (5) the synthesis of collagens, Added continually to preconfluent cultures from day 6 until hat-vest, CT (1-30 nM) and PTH (0.1-1.0 nM) increased mineral deposition; the maximal increase was seen between days 18-21 at 10 nM CT (175-260%) and 0.5 nM PTH (similar to 170-280%), both p &lt; 0.001, er had no significant effect on cellular protein, or AP-specific activity, whereas PTH increased cellular protein, DNA, proteoglycan, and collagen content of the cultures in a dosage-dependent manner, AP activity and levels of Type II and X collagens and fibronectin in the culture medium showed a biphasic response to PTH; maximal increases were seen at 0.5 nM between days 15-18, Longer exposure (days 21-27) to PTH at higher levels (5-10 nM) caused a marked decrease in AP activity but: a lesser decrease in the collagens, These results indicate that CT and PTH can act directly on chondrocytes to stimulate mineralization, but that PTH specifically stimulated cell division and synthesis of cellular and extracellular proteins by growth plate chondrocytes, The implications of these findings with regard to Ca2+ homeostasis and bone formation are discussed.</t>
  </si>
  <si>
    <t>UNIV S CAROLINA,DEPT CHEM &amp; BIOCHEM,COLUMBIA,SC 29208; UNIV S CAROLINA,SCH MED,COLUMBIA,SC 29208; MCGILL UNIV,SHRINERS HOSP,JOINT DIS LAB,MONTREAL,PQ,CANADA</t>
  </si>
  <si>
    <t>University of South Carolina; University of South Carolina System; University of South Carolina Columbia; University of South Carolina; University of South Carolina System; University of South Carolina Columbia; McGill University</t>
  </si>
  <si>
    <t>0884-0431</t>
  </si>
  <si>
    <t>10.1359/jbmr.1997.12.3.356</t>
  </si>
  <si>
    <t>WOS:A1997WN14800007</t>
  </si>
  <si>
    <t>Ruan, YT; Lin, N; Ma, Q; Chen, RP; Zhang, Z; Wen, WH; Chen, H; Sun, J</t>
  </si>
  <si>
    <t>Ruan, Yuting; Lin, Nie; Ma, Qiang; Chen, Rongping; Zhang, Zhen; Wen, Weiheng; Chen, Hong; Sun, Jia</t>
  </si>
  <si>
    <t>Circulating LncRNAs Analysis in Patients with Type 2 Diabetes Reveals Novel Genes Influencing Glucose Metabolism and Islet beta-Cell Function</t>
  </si>
  <si>
    <t>CELLULAR PHYSIOLOGY AND BIOCHEMISTRY</t>
  </si>
  <si>
    <t>LncRNA; Type 2 diabetes; Islet; beta-cell function; Insulin secretion</t>
  </si>
  <si>
    <t>LONG NONCODING RNAS; INSULIN-SECRETION; ENDOTHELIAL-CELLS; DNA METHYLATION; EXPRESSION; CANCER; PROLIFERATION; HOMEOSTASIS; DISRUPTION; REGULATORS</t>
  </si>
  <si>
    <t>Background/Aims: The islet is an important endocrine organ to secrete insulin to regulate the metabolism of glucose and maintain the stability of blood glucose. Long noncoding RNAs (lncRNAs) are involved in a variety of biological functions and play key roles in many diseases, including type 2 diabetes (T2D). The aim of this study was to determine whether lncRNA-p3134 is associated with glucose metabolism and insulin signaling in pancreatic beta cells. Methods: LncRNA microarray technology was used to identify the differentially expressed circulating lncRNAs in T2D patients. RT-PCR analyses were performed to determine the expression of lncRNA-p3134 in 30 pairs of diabetic and non-diabetic patients. The correlation of lncRNA-p3134 to clinical data from T2D patients was analyzed. LncRNA-p3134 was overexpressed in Min6 cells and db/db mice by adenovirus-mediated technology. CCK-8, TUNEL, Western blot, glucose-stimulated insulin secretion (GSIS), ELISAs and immunochemistry were performed to determine the effect of lncRNA-p3134 on proliferation, apoptosis and insulin secretion both in vitro and vivo. Results: The circulating level of lncRNA-p3134 was higher in diabetic patients than in non-diabetic controls and was correlated with fasting blood glucose and HOMA-beta levels. The lncRNA-p3134 had risen by 4 times in serum exosomes but nearly unchanged in exosome-free samples. The secretion of lncRNA-p3134 was dynamically modulated by glucose in both Min6 cells and isolated mouse islet cells. LncRNA-p3134 positively regulate GSIS through promoting of key regulators (Pdx-1, MafA, GLUT2 and Tcf7l2) in beta cells. In addition, the overexpression of lncRNA-p3134 resulted in a decreased apoptosis ratio and partially reversed the glucotoxicity effects on GSIS function in Min6 cells. The restoration of insulin synthesis and secretion the increase of the insulin positive cells areas by upregulation of lncRNA-p3134 in db/db mice confirmed the compensatory role of lncRNA-p3134 to preserve beta-cell function. Furthermore, a protective effect of lncRNA-p3134 on GSIS by positive modulation of PI3K/Akt/mTOR signaling was also confirmed. After blocking the PI3K/AKT signals with their specific inhibitor, the effect of overexpressed lncRNA-p3134 on insulin secretion was obviously attenuated. Conclusion: Taken together, the results of this study provide new insights into lncRNA-p3134 regulation in pancreatic beta cells and provide a better understanding of novel mechanism of glucose homeostasis. (C) 2018 The Author(s) Published by S. Karger AG, Basel</t>
  </si>
  <si>
    <t>[Ruan, Yuting; Lin, Nie; Ma, Qiang; Chen, Rongping; Zhang, Zhen; Wen, Weiheng; Chen, Hong; Sun, Jia] Southern Med Univ, Zhujiang Hosp, Dept Endocrinol, Guangzhou, Guangdong, Peoples R China</t>
  </si>
  <si>
    <t>Southern Medical University - China</t>
  </si>
  <si>
    <t>Chen, H; Sun, J (corresponding author), Southern Med Univ, Zhujiang Hosp, Dept Endocrinol, Guangzhou, Guangdong, Peoples R China.</t>
  </si>
  <si>
    <t>chenhong123@smu.edu.cn; sunjia@smu.edu.cn</t>
  </si>
  <si>
    <t>1015-8987</t>
  </si>
  <si>
    <t>1421-9778</t>
  </si>
  <si>
    <t>10.1159/000488434</t>
  </si>
  <si>
    <t>WOS:000431134000028</t>
  </si>
  <si>
    <t>Bratulic, S; Gatto, F; Nielsen, J</t>
  </si>
  <si>
    <t>Bratulic, Sinisa; Gatto, Francesco; Nielsen, Jens</t>
  </si>
  <si>
    <t>The Translational Status of Cancer Liquid Biopsies</t>
  </si>
  <si>
    <t>REGENERATIVE ENGINEERING AND TRANSLATIONAL MEDICINE</t>
  </si>
  <si>
    <t>Cancer biomarkers; Diagnostic biomarkers; Prognostic biomarkers; Predictive biomarkers; Liquid biopsy; Precision medicine; Clinical oncology; Multiomics</t>
  </si>
  <si>
    <t>CIRCULATING TUMOR-CELLS; METASTATIC BREAST-CANCER; MOLECULAR URINE TEST; POTENTIAL PREDICTIVE BIOMARKERS; TRANSCRIPTASE MESSENGER-RNA; WHOLE GENOME AMPLIFICATION; PROGRESSION-FREE SURVIVAL; MULTIVARIATE INDEX ASSAY; GRADE PROSTATE-CANCER; WIDE DNA METHYLATION</t>
  </si>
  <si>
    <t>Precision oncology aims to tailor clinical decisions specifically to patients with the objective of improving treatment outcomes. This can be achieved by leveraging omics information for accurate molecular characterization of tumors. Tumor tissue biopsies are currently the main source of information for molecular profiling. However, biopsies are invasive and limited in resolving spatiotemporal heterogeneity in tumor tissues. Alternative non-invasive liquid biopsies can exploit patient's body fluids to access multiple layers of tumor-specific biological information (genomes, epigenomes, transcriptomes, proteomes, metabolomes, circulating tumor cells, and exosomes). Analysis and integration of these large and diverse datasets using statistical and machine learning approaches can yield important insights into tumor biology and lead to discovery of new diagnostic, predictive, and prognostic biomarkers. Translation of these new diagnostic tools into standard clinical practice could transform oncology, as demonstrated by a number of liquid biopsy assays already entering clinical use. In this review, we highlight successes and challenges facing the rapidly evolving field of cancer biomarker research. Lay Summary Precision oncology aims to tailor clinical decisions specifically to patients with the objective of improving treatment outcomes. The discovery of biomarkers for precision oncology has been accelerated by high-throughput experimental and computational methods, which can inform fine-grained characterization of tumors for clinical decision-making. Moreover, advances in the liquid biopsy field allow non-invasive sampling of patient's body fluids with the aim of analyzing circulating biomarkers, obviating the need for invasive tumor tissue biopsies. In this review, we highlight successes and challenges facing the rapidly evolving field of liquid biopsy cancer biomarker research.</t>
  </si>
  <si>
    <t>[Bratulic, Sinisa; Gatto, Francesco; Nielsen, Jens] Chalmers Univ Technol, Dept Biol &amp; Biological Engn, Kemivagen 10, Gothenburg, Sweden; [Gatto, Francesco] Elypta, Teknikringen 38, 11428 Stockholm, Sweden; [Nielsen, Jens] Chalmers Univ Technol, Wallenberg Centre Prot Res, Kemivagen 10, Gothenburg, Sweden; [Nielsen, Jens] KTH Royal Inst Technol, Sci Life Lab, Stockholm, Sweden; [Nielsen, Jens] Syst Univ Denmark, Novo Nord Fdn Ctr Biosustainabil, 2800 KGS Lyngby, Denmark; [Nielsen, Jens] Bioinnovat Inst, Ole Maaloes Vej 3, 2200 Copenhagen, DK, Denmark</t>
  </si>
  <si>
    <t>Chalmers University of Technology; Chalmers University of Technology; Royal Institute of Technology</t>
  </si>
  <si>
    <t>Nielsen, J (corresponding author), Chalmers Univ Technol, Dept Biol &amp; Biological Engn, Kemivagen 10, Gothenburg, Sweden.;Nielsen, J (corresponding author), Chalmers Univ Technol, Wallenberg Centre Prot Res, Kemivagen 10, Gothenburg, Sweden.;Nielsen, J (corresponding author), KTH Royal Inst Technol, Sci Life Lab, Stockholm, Sweden.;Nielsen, J (corresponding author), Syst Univ Denmark, Novo Nord Fdn Ctr Biosustainabil, 2800 KGS Lyngby, Denmark.;Nielsen, J (corresponding author), Bioinnovat Inst, Ole Maaloes Vej 3, 2200 Copenhagen, DK, Denmark.</t>
  </si>
  <si>
    <t>nielsenj@chalmers.se</t>
  </si>
  <si>
    <t>Bratulic, Sinisa/0000-0002-1663-2227</t>
  </si>
  <si>
    <t>2364-4133</t>
  </si>
  <si>
    <t>2364-4141</t>
  </si>
  <si>
    <t>10.1007/s40883-019-00141-2</t>
  </si>
  <si>
    <t>WOS:000698957500006</t>
  </si>
  <si>
    <t>Takahashi, H; Baba, Y; Yasui, T</t>
  </si>
  <si>
    <t>Takahashi, Hiromi; Baba, Yoshinobu; Yasui, Takao</t>
  </si>
  <si>
    <t>Oxide nanowire microfluidics addressing previously-unattainable analytical methods for biomolecules towards liquid biopsy</t>
  </si>
  <si>
    <t>LABEL-FREE DETECTION; CANCER-DERIVED EXOSOMES; CIRCULATING TUMOR-CELLS; EFFICIENT CAPTURE; DNA METHYLATION; REAL-TIME; SEPARATION; ARRAY; NANOWALL; NANOPILLAR</t>
  </si>
  <si>
    <t>Nanowire microfluidics using a combination of self-assembly and nanofabrication technologies is expected to be applied to various fields due to its unique properties. We have been working on the fabrication of nanowire microfluidic devices and the development of analytical methods for biomolecules using the unique phenomena generated by the devices. The results of our research are not just limited to the development of nanospace control with targeted dimensions in targeted arrangements with targeted materials/surfaces in targeted spatial locations/structures in microfluidic channels, but also cover a wide range of analytical methods for biomolecules (extraction, separation/isolation, and detection) that are impossible to achieve with conventional technologies. Specifically, we are working on the extraction technology the cancer-related microRNA extraction method in urine, the separation technology the ultrafast and non-equilibrium separation method for biomolecules, and the detection technology the highly sensitive electrical measurement method. These research studies are not just limited to the development of biomolecule analysis technology using nanotechnology, but are also opening up a new academic field in analytical chemistry that may lead to the discovery of new pretreatment, separation, and detection principles.</t>
  </si>
  <si>
    <t>[Takahashi, Hiromi; Baba, Yoshinobu; Yasui, Takao] Nagoya Univ, Grad Sch Engn, Dept Biomol Engn, Chikusa Ku, Furo Cho, Nagoya, Aichi 4648603, Japan; [Baba, Yoshinobu; Yasui, Takao] Nagoya Univ, Inst Innovat Future Soc, Inst Nano Life Syst, Chikusa Ku, Furo Cho, Nagoya, Aichi 4648603, Japan; [Baba, Yoshinobu] Natl Inst Quantum Sci &amp; Technol, Inst Quantum Life Sci, Inage Ku, Anagawa 4-9-1, Chiba 2638555, Japan; [Yasui, Takao] PRESTO, Japan Sci &amp; Technol Agcy JST, 4-1-8 Honcho, Kawaguchi, Saitama 3320012, Japan</t>
  </si>
  <si>
    <t>Nagoya University; Nagoya University; National Institutes for Quantum Science &amp; Technology; Japan Science &amp; Technology Agency (JST)</t>
  </si>
  <si>
    <t>Yasui, T (corresponding author), Nagoya Univ, Grad Sch Engn, Dept Biomol Engn, Chikusa Ku, Furo Cho, Nagoya, Aichi 4648603, Japan.;Yasui, T (corresponding author), Nagoya Univ, Inst Innovat Future Soc, Inst Nano Life Syst, Chikusa Ku, Furo Cho, Nagoya, Aichi 4648603, Japan.;Yasui, T (corresponding author), PRESTO, Japan Sci &amp; Technol Agcy JST, 4-1-8 Honcho, Kawaguchi, Saitama 3320012, Japan.</t>
  </si>
  <si>
    <t>yasui@chembio.nagoya-u.ac.jp</t>
  </si>
  <si>
    <t>Yasui, Takao/AHA-8445-2022</t>
  </si>
  <si>
    <t>Yasui, Takao/0000-0003-0333-3559</t>
  </si>
  <si>
    <t>DEC 9</t>
  </si>
  <si>
    <t>10.1039/d1cc05096f</t>
  </si>
  <si>
    <t>WOS:000722707600001</t>
  </si>
  <si>
    <t>MIGNATTI, P; MORIMOTO, T; RIFKIN, DB</t>
  </si>
  <si>
    <t>BASIC FIBROBLAST GROWTH-FACTOR, A PROTEIN DEVOID OF SECRETORY SIGNAL SEQUENCE, IS RELEASED BY CELLS VIA A PATHWAY INDEPENDENT OF THE ENDOPLASMIC-RETICULUM GOLGI-COMPLEX</t>
  </si>
  <si>
    <t>CAPILLARY ENDOTHELIAL-CELLS; SUBENDOTHELIAL EXTRACELLULAR-MATRIX; PLASMINOGEN-ACTIVATOR PRODUCTION; FACTOR RECEPTOR; NUCLEOTIDE-SEQUENCE; PLASMA-MEMBRANE; ANGIOGENIC PROTEIN; VESICLE FORMATION; TYROSINE KINASE; DNA-SYNTHESIS</t>
  </si>
  <si>
    <t>Basic fibroblast growth factor (bFGF) modulates functions of a variety of cell types. Whereas bFGF is known to act extracellularly, the protein lacks a transient signal peptide. No defined mechanism for bFGF secretion has been characterized besides release from dead or injured cells. To study this problem we devised an experimental system to examine bFGF-mediated migration of isolated single cells. Under these conditions individual cells are not affected by bFGF derived from other cells. By this method we have previously shown that bFGF released by NIH 3T3 cells transfected with bFGF cDNA modulates migration in an autocrine manner. We have now examined the effects on cell motility of drugs or treatments known to affect various pathways of protein secretion. Drugs that block secretion via the endoplasmic reticulum (ER)-Golgi complex or via multidrug resistance proteins did not inhibit cell motility. Migration was enhanced by the calcium ionophore A23187, which stimulates exocytosis, and was inhibited by methylamine, serum-free, and low temperature (18-degrees-C) conditions, which block endo- and exocytosis. The reversal of these effects by the concomitant addition of affinity-purified anti-bFGF IgG or recombinant bFGF showed that the alterations in cell migration were mediated by changes in bFGF externalization. Thus bFGF can be released via a mechanism of exocytosis independent of the ER-Golgi pathway.</t>
  </si>
  <si>
    <t>NYU MED CTR,DEPT CELL BIOL,NEW YORK,NY 10016; RAYMOND &amp; BEVERLY SACKLER LABS,NEW YORK,NY 10016; NYU MED CTR,KAPLAN CANC CTR,NEW YORK,NY 10016; UNIV PAVIA,DIPARTIMENTO GENET &amp; MICROBIOL,I-27100 PAVIA,ITALY</t>
  </si>
  <si>
    <t>New York University; New York University; University of Pavia</t>
  </si>
  <si>
    <t>Mignatti, Paolo/0000-0002-8157-457X</t>
  </si>
  <si>
    <t>10.1002/jcp.1041510113</t>
  </si>
  <si>
    <t>WOS:A1992HM96000012</t>
  </si>
  <si>
    <t>Zhuang, GL; Wu, XM; Jiang, ZS; Kasman, I; Yao, J; Guan, YH; Oeh, J; Modrusan, Z; Bais, C; Sampath, D; Ferrara, N</t>
  </si>
  <si>
    <t>Zhuang, Guanglei; Wu, Xiumin; Jiang, Zhaoshi; Kasman, Ian; Yao, Jenny; Guan, Yinghui; Oeh, Jason; Modrusan, Zora; Bais, Carlos; Sampath, Deepak; Ferrara, Napoleone</t>
  </si>
  <si>
    <t>Tumour-secreted miR-9 promotes endothelial cell migration and angiogenesis by activating the JAK-STAT pathway</t>
  </si>
  <si>
    <t>angiogenesis; endothelium; JAK-STAT; microRNA; tumour</t>
  </si>
  <si>
    <t>GROWTH-FACTOR; CIRCULATING MICRORNAS; CANCER; MICROVESICLES; TARGETS; COMMUNICATION; SIGNATURES; MEDIATORS; RESOURCE; PLASMA</t>
  </si>
  <si>
    <t>Angiogenesis plays a crucial role during tumorigenesis and much progress has been recently made in elucidating the role of VEGF and other growth factors in the regulation of angiogenesis. Recently, microRNAs (miRNAs) have been shown to modulate a variety of physiogical and pathological processes. We identified a set of differentially expressed miRNAs in microvascular endothelial cells co-cultured with tumour cells. Unexpectedly, most miRNAs were derived from tumour cells, packaged intomicrovesicles (MVs), and then directly delivered to endothelial cells. Among these miRNAs, we focused on miR-9 due to the strong morphological changes induced in cultured endothelial cells. We found that exogenous miR-9 effectively reduced SOCS5 levels, leading to activated JAK-STAT pathway. This signalling cascade promoted endothelial cell migration and tumour angiogenesis. Remarkably, administration of anti-miR-9 or JAK inhibitors suppressed MV-induced cell migration in vitro and decreased tumour burden in vivo. Collectively, these observations suggest that tumour-secreted miRNAs participate in intercellular communication and function as a novel pro-angiogenic mechanism. The EMBO Journal (2012) 31, 3513-3523. doi: 10.1038/emboj.2012.183; Published online 6 July 2012 Subject Categories: RNA; molecular biology of disease</t>
  </si>
  <si>
    <t>[Zhuang, Guanglei; Wu, Xiumin; Jiang, Zhaoshi; Kasman, Ian; Yao, Jenny; Guan, Yinghui; Oeh, Jason; Modrusan, Zora; Bais, Carlos; Sampath, Deepak; Ferrara, Napoleone] Genentech Inc, San Francisco, CA 94080 USA</t>
  </si>
  <si>
    <t>Roche Holding; Genentech</t>
  </si>
  <si>
    <t>Ferrara, N (corresponding author), Genentech Inc, 1 DNA Way, San Francisco, CA 94080 USA.</t>
  </si>
  <si>
    <t>nf@gene.com</t>
  </si>
  <si>
    <t>Zhuang, Guanglei/K-6097-2013</t>
  </si>
  <si>
    <t>Zhuang, Guanglei/0000-0001-8141-5096</t>
  </si>
  <si>
    <t>10.1038/emboj.2012.183</t>
  </si>
  <si>
    <t>WOS:000308390700003</t>
  </si>
  <si>
    <t>Nielson, CM; Jacobs, JM; Orwoll, ES</t>
  </si>
  <si>
    <t>Nielson, Carrie M.; Jacobs, Jon M.; Orwoll, Eric S.</t>
  </si>
  <si>
    <t>Proteomic studies of bone and skeletal health outcomes</t>
  </si>
  <si>
    <t>Bone; Proteomics</t>
  </si>
  <si>
    <t>TARGETED PROTEOMICS; PLASMA PROTEOME; QUANTIFICATION; SPECTROMETRY; PROTEINS; IDENTIFICATION; CHROMATOGRAPHY; STRATEGY; EXOSOMES; BIOLOGY</t>
  </si>
  <si>
    <t>Proteins are an essential part of essentially all biological processes, and there is enormous variation in protein forms and concentrations that is not reflected in DNA or RNA. Recently there have been rapid advances in the ability to measure protein sequence, modification and concentration, particularly with methods based in mass spectrometry. Global measures of proteins in tissues or in the circulation provide a broad assessment of the proteome that can be extremely useful for discovery, and targeted proteomic measures can yield specific and sensitive assessments of specific peptides and proteins. While most proteomic measures are directed at the detection of consensus peptide sequences, mass spectrometry based proteomic methods also allow a detailed examination of the peptide sequence differences that result from genetic variants and that may have important effects on protein function. In evaluating proteomic data, a number of analytical considerations are important, including an understanding of missing data, the challenge of multiple testing and replication, and the use of rapidly evolving methods in systems biology. While proteomics has not yet had a major impact in skeletal research, interesting recent research has used these approaches in the study of bone cell biology and the discovery of biomarkers of skeletal disorders. Proteomics can be expected to have an increasing influence in the study of bone biology and pathophysiology.</t>
  </si>
  <si>
    <t>[Nielson, Carrie M.; Orwoll, Eric S.] Oregon Hlth &amp; Sci Univ, 3191 SW Sam Jackson Pk Rd, Portland, OR 97239 USA; [Jacobs, Jon M.] Pacific Northwest Natl Lab, Richland, WA 99352 USA</t>
  </si>
  <si>
    <t>Oregon Health &amp; Science University; United States Department of Energy (DOE); Pacific Northwest National Laboratory</t>
  </si>
  <si>
    <t>Orwoll, ES (corresponding author), Oregon Hlth &amp; Sci Univ, 3191 SW Sam Jackson Pk Rd, Portland, OR 97239 USA.</t>
  </si>
  <si>
    <t>orwoll@ohsu.edu</t>
  </si>
  <si>
    <t>1873-2763</t>
  </si>
  <si>
    <t>10.1016/j.bone.2019.03.032</t>
  </si>
  <si>
    <t>WOS:000477790000004</t>
  </si>
  <si>
    <t>Pissarra, J; Pagniez, J; Petitdidier, E; Seveno, M; Vigy, O; Bras-Goncalves, R; Lemesre, JL; Holzmuller, P</t>
  </si>
  <si>
    <t>Pissarra, Joana; Pagniez, Juli; Petitdidier, Elodie; Seveno, Martial; Vigy, Oana; Bras-Goncalves, Rachel; Lemesre, Jean-Loup; Holzmuller, Philippe</t>
  </si>
  <si>
    <t>Proteomic Analysis of the Promastigote Secretome of Seven Leishmania Species</t>
  </si>
  <si>
    <t>JOURNAL OF PROTEOME RESEARCH</t>
  </si>
  <si>
    <t>leishmaniasis; Leishmania; promastigote; secretome; mass spectrometry</t>
  </si>
  <si>
    <t>DEVELOPMENTALLY-REGULATED PROTEINS; VIRULENCE FACTORS; MOONLIGHTING PROTEINS; FUNCTIONAL-ANALYSIS; DNA FRAGMENTATION; PARASITE; IDENTIFICATION; EXPRESSION; EXOSOMES; INFANTUM</t>
  </si>
  <si>
    <t>Leishmaniasis is one of the most impactful parasitic diseases worldwide, endangering the lives of 1 billion people every year. There are 20 different species of Leishmania able to infect humans, causing cutaneous (CL), visceral (VL), and/or mucocutaneous leishmaniasis (MCL). Leishmania parasites are known to secrete a plethora of proteins to establish infection and modulate the host's immune system. In this study, we analyzed using tandem mass spectrometry the total protein content of the secretomes produced by promastigote forms from seven Leishmania species grown in serum-free in vitro cultures. The core secretome shared by all seven Leishmania species corresponds to up to one-third of total secreted proteins, suggesting conserved mechanisms of adaptation to the vertebrate host. The relative abundance confirms the importance of known virulence factors and some proteins uniquely present in CL-or VL-causing species and may provide further insight regarding their pathogenesis. Bioinformatic analysis showed that most proteins were secreted via unconventional mechanisms, with an important role for vesicle based secretion for all species. Gene Ontology annotation and enrichment analyses showed a high level of functional conservation among species. This study contributes to the current knowledge on the biological significance of differently secreted proteins and provides new information on the correlation of Leishmania secretome to clinical outcomes and species-specific pathogenesis.</t>
  </si>
  <si>
    <t>[Pissarra, Joana; Pagniez, Juli; Petitdidier, Elodie; Bras-Goncalves, Rachel; Lemesre, Jean-Loup] Inst Rech Dev IRD, UMR INTERTRYP 177, F-34394 Montpellier, France; [Seveno, Martial] Univ Montpellier, CNRS, BCM, INSERM, F-34090 Montpellier, France; [Vigy, Oana] Univ Montpellier, CNRS, IGF, INSERM, F-34090 Montpellier, France; [Holzmuller, Philippe] Univ Montpellier I MUSE, UMR ASTRE, CIRAD, INRAE, F-34090 Montpellier, France</t>
  </si>
  <si>
    <t>Institut de Recherche pour le Developpement (IRD); Centre National de la Recherche Scientifique (CNRS); Institut National de la Sante et de la Recherche Medicale (Inserm); Universite de Montpellier; Centre National de la Recherche Scientifique (CNRS); Institut National de la Sante et de la Recherche Medicale (Inserm); Universite de Montpellier; CIRAD; INRAE; Universite de Montpellier</t>
  </si>
  <si>
    <t>Pissarra, J (corresponding author), Inst Rech Dev IRD, UMR INTERTRYP 177, F-34394 Montpellier, France.</t>
  </si>
  <si>
    <t>joana.s.pissarra@gmail.com</t>
  </si>
  <si>
    <t>; Bras-Goncalves, Rachel/I-8520-2016</t>
  </si>
  <si>
    <t>SEVENO, Martial/0000-0002-5000-8735; Bras-Goncalves, Rachel/0000-0002-3089-4530; Pissarra, Joana/0000-0002-0506-8042</t>
  </si>
  <si>
    <t>1535-3893</t>
  </si>
  <si>
    <t>1535-3907</t>
  </si>
  <si>
    <t>JAN 7</t>
  </si>
  <si>
    <t>10.1021/acs.jproteome.1c00244</t>
  </si>
  <si>
    <t>WOS:000744097700005</t>
  </si>
  <si>
    <t>Sharma, S; Gimzewski, JK</t>
  </si>
  <si>
    <t>Dufrene, Y</t>
  </si>
  <si>
    <t>Sharma, Shivani; Gimzewski, James K.</t>
  </si>
  <si>
    <t>ATOMIC FORCE MICROSCOPY FOR MEDICINE</t>
  </si>
  <si>
    <t>LIFE AT THE NANOSCALE: ATOMIC FORCE MICROSCOPY OF LIVE CELLS</t>
  </si>
  <si>
    <t>TUMOR-DERIVED EXOSOMES; HUMAN SALIVA; DNA HYBRIDIZATION; CELLS; CANCER; RECOGNITION; NANOTECHNOLOGY; NANOMECHANICS; BIOMECHANICS; BIOGENESIS</t>
  </si>
  <si>
    <t>[Sharma, Shivani; Gimzewski, James K.] Univ Calif Los Angeles, Dept Chem &amp; Biochem, Los Angeles, CA 90024 USA; [Sharma, Shivani; Gimzewski, James K.] Univ Calif Los Angeles, Calif NanoSyst Inst, Los Angeles, CA 90024 USA; [Gimzewski, James K.] Natl Inst Mat Sci, Int Ctr Mat Nanoarchitecton Satellite MANA, Tsukuba, Ibaraki, Japan</t>
  </si>
  <si>
    <t>University of California System; University of California Los Angeles; University of California System; University of California Los Angeles; National Institute for Materials Science</t>
  </si>
  <si>
    <t>Sharma, S (corresponding author), Univ Calif Los Angeles, Dept Chem &amp; Biochem, 405 Hilgard Ave, Los Angeles, CA 90024 USA.</t>
  </si>
  <si>
    <t>gim@chem.ucla.edu</t>
  </si>
  <si>
    <t>gimzewski, james/0000-0003-4333-6957</t>
  </si>
  <si>
    <t>978-9-81426-797-7</t>
  </si>
  <si>
    <t>10.4032/9789814267977</t>
  </si>
  <si>
    <t>Cell Biology; Microscopy</t>
  </si>
  <si>
    <t>WOS:000297211500021</t>
  </si>
  <si>
    <t>Zhang, YQ; Rana, A; Stratton, Y; Czyzyk-Krzeska, MF; Esfandiari, L</t>
  </si>
  <si>
    <t>Zhang, Yuqian; Rana, Ankit; Stratton, Yiwen; Czyzyk-Krzeska, Maria F.; Esfandiari, Leyla</t>
  </si>
  <si>
    <t>Sequence-Specific Detection of MicroRNAs Related to Clear Cell Renal Cell Carcinoma at fM Concentration by an Electroosmotically Driven Nanopore-Based Device</t>
  </si>
  <si>
    <t>NANOPARTICLE-LIGAND DISTRIBUTIONS; SOLID-STATE NANOPORES; NUCLEIC-ACIDS; RT-PCR; DNA; CANCER; SERUM; MICROVESICLES; BIOMARKERS; DIAGNOSIS</t>
  </si>
  <si>
    <t>MicroRNAs (miRs) are small noncoding RNAs that play a critical role in gene regulation. Recently, traces of cancer related miRs have been identified in body fluids, which make them remarkable noninvasive biomarkers. In this study, a new nanopore-based detection scheme utilizing a borosilicate micropipette and an assay of complementary gamma-peptide nucleic acid (gamma-PNA) probes conjugated to polystyrene beads have been reported for the detection of miR-204 and miR-210 related to the clear cell Renal Cell Carcinoma (ccRCC). Electroosmotic flow (EOF) is induced as the driving force to transport PNA-beads harboring target miRs to the tip of the pore (sensing zone), which results in pore blockades with unique and easily distinguishable serrated shape electrical signals. The concentration detection limit is investigated to be 1 and 10 fM for miR-204 and miR-210, respectively. The EOF transport mechanism enables highly sensitive detection of molecules with low surface charge density with 97.6% detection accuracy compared to the conventional electrophoretically driven methods. Furthermore, resistive-pulse experiments are conducted to study the correlation of the particles' surface charge density with their translocation time and verify the detection principle.</t>
  </si>
  <si>
    <t>[Zhang, Yuqian; Rana, Ankit; Esfandiari, Leyla] Univ Cincinnati, Dept Elect Engn &amp; Comp Syst, Cincinnati, OH 45221 USA; [Stratton, Yiwen; Czyzyk-Krzeska, Maria F.] Univ Cincinnati, Dept Canc Biol, Cincinnati, OH 45267 USA; [Czyzyk-Krzeska, Maria F.] VA Res Serv, Dept Vet Affairs, Cincinnati, OH 45220 USA; [Esfandiari, Leyla] Univ Cincinnati, Dept Biomed Chem &amp; Environm Engn, Cincinnati, OH 45221 USA</t>
  </si>
  <si>
    <t>University of Cincinnati; University of Cincinnati; US Department of Veterans Affairs; Veterans Health Administration (VHA); Cincinnati VA Medical Center; University of Cincinnati</t>
  </si>
  <si>
    <t>Esfandiari, L (corresponding author), Univ Cincinnati, Dept Elect Engn &amp; Comp Syst, Cincinnati, OH 45221 USA.;Esfandiari, L (corresponding author), Univ Cincinnati, Dept Biomed Chem &amp; Environm Engn, Cincinnati, OH 45221 USA.</t>
  </si>
  <si>
    <t>Zhang, Yuqian/ABG-6799-2021</t>
  </si>
  <si>
    <t>Zhang, Yuqian/0000-0002-2800-6100</t>
  </si>
  <si>
    <t>SEP 5</t>
  </si>
  <si>
    <t>10.1021/acs.analchem.7b01944</t>
  </si>
  <si>
    <t>WOS:000410014900086</t>
  </si>
  <si>
    <t>PMID</t>
  </si>
  <si>
    <t>Title</t>
  </si>
  <si>
    <t>Citation</t>
  </si>
  <si>
    <t>First Author</t>
  </si>
  <si>
    <t>Journal/Book</t>
  </si>
  <si>
    <t>Create Date</t>
  </si>
  <si>
    <t>PMCID</t>
  </si>
  <si>
    <t>NIHMS ID</t>
  </si>
  <si>
    <t>Jeppesen DK, Fenix AM, Franklin JL, Higginbotham JN, Zhang Q, Zimmerman LJ, Liebler DC, Ping J, Liu Q, Evans R, Fissell WH, Patton JG, Rome LH, Burnette DT, Coffey RJ.</t>
  </si>
  <si>
    <t>Cell. 2019 Apr 4;177(2):428-445.e18. doi: 10.1016/j.cell.2019.02.029.</t>
  </si>
  <si>
    <t>Jeppesen DK</t>
  </si>
  <si>
    <t>Cell</t>
  </si>
  <si>
    <t>PMC6664447</t>
  </si>
  <si>
    <t>NIHMS1525273</t>
  </si>
  <si>
    <t>Exosome-based liquid biopsies in cancer: opportunities and challenges</t>
  </si>
  <si>
    <t>Yu W, Hurley J, Roberts D, Chakrabortty SK, Enderle D, Noerholm M, Breakefield XO, Skog JK.</t>
  </si>
  <si>
    <t>Ann Oncol. 2021 Apr;32(4):466-477. doi: 10.1016/j.annonc.2021.01.074. Epub 2021 Feb 4.</t>
  </si>
  <si>
    <t>Yu W</t>
  </si>
  <si>
    <t>Ann Oncol</t>
  </si>
  <si>
    <t>PMC8268076</t>
  </si>
  <si>
    <t>NIHMS1720092</t>
  </si>
  <si>
    <t>10.1016/j.annonc.2021.01.074</t>
  </si>
  <si>
    <t>RNA delivery by extracellular vesicles in mammalian cells and its applications</t>
  </si>
  <si>
    <t>O'Brien K, Breyne K, Ughetto S, Laurent LC, Breakefield XO.</t>
  </si>
  <si>
    <t>Nat Rev Mol Cell Biol. 2020 Oct;21(10):585-606. doi: 10.1038/s41580-020-0251-y. Epub 2020 May 26.</t>
  </si>
  <si>
    <t>O'Brien K</t>
  </si>
  <si>
    <t>Nat Rev Mol Cell Biol</t>
  </si>
  <si>
    <t>PMC7249041</t>
  </si>
  <si>
    <t>10.1038/s41580-020-0251-y</t>
  </si>
  <si>
    <t>Liquid biopsy for brain tumors</t>
  </si>
  <si>
    <t>Shankar GM, Balaj L, Stott SL, Nahed B, Carter BS.</t>
  </si>
  <si>
    <t>Expert Rev Mol Diagn. 2017 Oct;17(10):943-947. doi: 10.1080/14737159.2017.1374854. Epub 2017 Sep 6.</t>
  </si>
  <si>
    <t>Shankar GM</t>
  </si>
  <si>
    <t>Expert Rev Mol Diagn</t>
  </si>
  <si>
    <t>PMC5856481</t>
  </si>
  <si>
    <t>NIHMS948207</t>
  </si>
  <si>
    <t>10.1080/14737159.2017.1374854</t>
  </si>
  <si>
    <t>Lazo S, Noren Hooten N, Green J, Eitan E, Mode NA, Liu QR, Zonderman AB, Ezike N, Mattson MP, Ghosh P, Evans MK.</t>
  </si>
  <si>
    <t>Aging Cell. 2021 Jan;20(1):e13283. doi: 10.1111/acel.13283. Epub 2020 Dec 23.</t>
  </si>
  <si>
    <t>Lazo S</t>
  </si>
  <si>
    <t>Aging Cell</t>
  </si>
  <si>
    <t>PMC7811845</t>
  </si>
  <si>
    <t>Early screening and diagnosis strategies of pancreatic cancer: a comprehensive review</t>
  </si>
  <si>
    <t>Yang J, Xu R, Wang C, Qiu J, Ren B, You L.</t>
  </si>
  <si>
    <t>Cancer Commun (Lond). 2021 Dec;41(12):1257-1274. doi: 10.1002/cac2.12204. Epub 2021 Jul 31.</t>
  </si>
  <si>
    <t>Yang J</t>
  </si>
  <si>
    <t>Cancer Commun (Lond)</t>
  </si>
  <si>
    <t>PMC8696234</t>
  </si>
  <si>
    <t>10.1002/cac2.12204</t>
  </si>
  <si>
    <t>Urine biopsy technologies: Cancer and beyond</t>
  </si>
  <si>
    <t>Chen CK, Liao J, Li MS, Khoo BL.</t>
  </si>
  <si>
    <t>Theranostics. 2020 Jun 22;10(17):7872-7888. doi: 10.7150/thno.44634. eCollection 2020.</t>
  </si>
  <si>
    <t>Chen CK</t>
  </si>
  <si>
    <t>Theranostics</t>
  </si>
  <si>
    <t>PMC7359094</t>
  </si>
  <si>
    <t>10.7150/thno.44634</t>
  </si>
  <si>
    <t>Circulating biomarkers in patients with glioblastoma</t>
  </si>
  <si>
    <t>Müller Bark J, Kulasinghe A, Chua B, Day BW, Punyadeera C.</t>
  </si>
  <si>
    <t>Br J Cancer. 2020 Feb;122(3):295-305. doi: 10.1038/s41416-019-0603-6. Epub 2019 Oct 31.</t>
  </si>
  <si>
    <t>Müller Bark J</t>
  </si>
  <si>
    <t>Br J Cancer</t>
  </si>
  <si>
    <t>PMC7000822</t>
  </si>
  <si>
    <t>10.1038/s41416-019-0603-6</t>
  </si>
  <si>
    <t>Clinical validity of saliva and novel technology for cancer detection</t>
  </si>
  <si>
    <t>Kaczor-Urbanowicz KE, Wei F, Rao SL, Kim J, Shin H, Cheng J, Tu M, Wong DTW, Kim Y.</t>
  </si>
  <si>
    <t>Biochim Biophys Acta Rev Cancer. 2019 Aug;1872(1):49-59. doi: 10.1016/j.bbcan.2019.05.007. Epub 2019 May 30.</t>
  </si>
  <si>
    <t>Kaczor-Urbanowicz KE</t>
  </si>
  <si>
    <t>Biochim Biophys Acta Rev Cancer</t>
  </si>
  <si>
    <t>PMC6692231</t>
  </si>
  <si>
    <t>NIHMS1531671</t>
  </si>
  <si>
    <t>10.1016/j.bbcan.2019.05.007</t>
  </si>
  <si>
    <t>Thiam HR, Wong SL, Qiu R, Kittisopikul M, Vahabikashi A, Goldman AE, Goldman RD, Wagner DD, Waterman CM.</t>
  </si>
  <si>
    <t>Proc Natl Acad Sci U S A. 2020 Mar 31;117(13):7326-7337. doi: 10.1073/pnas.1909546117. Epub 2020 Mar 13.</t>
  </si>
  <si>
    <t>Thiam HR</t>
  </si>
  <si>
    <t>Proc Natl Acad Sci U S A</t>
  </si>
  <si>
    <t>PMC7132277</t>
  </si>
  <si>
    <t>Advances and Utility of the Human Plasma Proteome</t>
  </si>
  <si>
    <t>Deutsch EW, Omenn GS, Sun Z, Maes M, Pernemalm M, Palaniappan KK, Letunica N, Vandenbrouck Y, Brun V, Tao SC, Yu X, Geyer PE, Ignjatovic V, Moritz RL, Schwenk JM.</t>
  </si>
  <si>
    <t>J Proteome Res. 2021 Dec 3;20(12):5241-5263. doi: 10.1021/acs.jproteome.1c00657. Epub 2021 Oct 21.</t>
  </si>
  <si>
    <t>Deutsch EW</t>
  </si>
  <si>
    <t>J Proteome Res</t>
  </si>
  <si>
    <t>10.1021/acs.jproteome.1c00657</t>
  </si>
  <si>
    <t>Extracellular vesicles in cancer - implications for future improvements in cancer care</t>
  </si>
  <si>
    <t>Xu R, Rai A, Chen M, Suwakulsiri W, Greening DW, Simpson RJ.</t>
  </si>
  <si>
    <t>Nat Rev Clin Oncol. 2018 Oct;15(10):617-638. doi: 10.1038/s41571-018-0036-9.</t>
  </si>
  <si>
    <t>Xu R</t>
  </si>
  <si>
    <t>Nat Rev Clin Oncol</t>
  </si>
  <si>
    <t>10.1038/s41571-018-0036-9</t>
  </si>
  <si>
    <t>Yokoi A, Villar-Prados A, Oliphint PA, Zhang J, Song X, De Hoff P, Morey R, Liu J, Roszik J, Clise-Dwyer K, Burks JK, O'Halloran TJ, Laurent LC, Sood AK.</t>
  </si>
  <si>
    <t>Sci Adv. 2019 Nov 20;5(11):eaax8849. doi: 10.1126/sciadv.aax8849. eCollection 2019 Nov.</t>
  </si>
  <si>
    <t>Yokoi A</t>
  </si>
  <si>
    <t>Sci Adv</t>
  </si>
  <si>
    <t>PMC6867874</t>
  </si>
  <si>
    <t>Zhang A, Li M, Wang B, Klein JD, Price SR, Wang XH.</t>
  </si>
  <si>
    <t>J Cachexia Sarcopenia Muscle. 2018 Aug;9(4):755-770. doi: 10.1002/jcsm.12296. Epub 2018 Mar 26.</t>
  </si>
  <si>
    <t>Zhang A</t>
  </si>
  <si>
    <t>J Cachexia Sarcopenia Muscle</t>
  </si>
  <si>
    <t>PMC6104113</t>
  </si>
  <si>
    <t>Zhao F, Zheng T, Gong W, Wu J, Xie H, Li W, Zhang R, Liu P, Liu J, Wu X, Zhao Y, Ren J.</t>
  </si>
  <si>
    <t>Cell Death Dis. 2021 Aug 27;12(9):815. doi: 10.1038/s41419-021-04101-z.</t>
  </si>
  <si>
    <t>Zhao F</t>
  </si>
  <si>
    <t>Cell Death Dis</t>
  </si>
  <si>
    <t>PMC8397775</t>
  </si>
  <si>
    <t>Autoantibody-mediated impairment of DNASE1L3 activity in sporadic systemic lupus erythematosus</t>
  </si>
  <si>
    <t>Hartl J, Serpas L, Wang Y, Rashidfarrokhi A, Perez OA, Sally B, Sisirak V, Soni C, Khodadadi-Jamayran A, Tsirigos A, Caiello I, Bracaglia C, Volpi S, Ghiggeri GM, Chida AS, Sanz I, Kim MY, Belmont HM, Silverman GJ, Clancy RM, Izmirly PM, Buyon JP, Reizis B.</t>
  </si>
  <si>
    <t>J Exp Med. 2021 May 3;218(5):e20201138. doi: 10.1084/jem.20201138.</t>
  </si>
  <si>
    <t>Hartl J</t>
  </si>
  <si>
    <t>J Exp Med</t>
  </si>
  <si>
    <t>PMC8020718</t>
  </si>
  <si>
    <t>10.1084/jem.20201138</t>
  </si>
  <si>
    <t>Bernard V, Kim DU, San Lucas FA, Castillo J, Allenson K, Mulu FC, Stephens BM, Huang J, Semaan A, Guerrero PA, Kamyabi N, Zhao J, Hurd MW, Koay EJ, Taniguchi CM, Herman JM, Javle M, Wolff R, Katz M, Varadhachary G, Maitra A, Alvarez HA.</t>
  </si>
  <si>
    <t>Gastroenterology. 2019 Jan;156(1):108-118.e4. doi: 10.1053/j.gastro.2018.09.022. Epub 2018 Sep 19.</t>
  </si>
  <si>
    <t>Bernard V</t>
  </si>
  <si>
    <t>Gastroenterology</t>
  </si>
  <si>
    <t>PMC6434712</t>
  </si>
  <si>
    <t>NIHMS1009738</t>
  </si>
  <si>
    <t>Liquid Biopsy in Head and Neck Cancer: Promises and Challenges</t>
  </si>
  <si>
    <t>Nonaka T, Wong DTW.</t>
  </si>
  <si>
    <t>J Dent Res. 2018 Jun;97(6):701-708. doi: 10.1177/0022034518762071. Epub 2018 Mar 7.</t>
  </si>
  <si>
    <t>Nonaka T</t>
  </si>
  <si>
    <t>J Dent Res</t>
  </si>
  <si>
    <t>PMC5960882</t>
  </si>
  <si>
    <t>10.1177/0022034518762071</t>
  </si>
  <si>
    <t>Liquid biopsy in the era of immuno-oncology: is it ready for prime-time use for cancer patients?</t>
  </si>
  <si>
    <t>Hofman P, Heeke S, Alix-Panabières C, Pantel K.</t>
  </si>
  <si>
    <t>Ann Oncol. 2019 Sep 1;30(9):1448-1459. doi: 10.1093/annonc/mdz196.</t>
  </si>
  <si>
    <t>Hofman P</t>
  </si>
  <si>
    <t>10.1093/annonc/mdz196</t>
  </si>
  <si>
    <t>ISGylation controls exosome secretion by promoting lysosomal degradation of MVB proteins</t>
  </si>
  <si>
    <t>Villarroya-Beltri C, Baixauli F, Mittelbrunn M, Fernández-Delgado I, Torralba D, Moreno-Gonzalo O, Baldanta S, Enrich C, Guerra S, Sánchez-Madrid F.</t>
  </si>
  <si>
    <t>Nat Commun. 2016 Nov 24;7:13588. doi: 10.1038/ncomms13588.</t>
  </si>
  <si>
    <t>Villarroya-Beltri C</t>
  </si>
  <si>
    <t>Nat Commun</t>
  </si>
  <si>
    <t>PMC5123068</t>
  </si>
  <si>
    <t>10.1038/ncomms13588</t>
  </si>
  <si>
    <t>The role of exosomes from BALF in lung disease</t>
  </si>
  <si>
    <t>Liu Z, Yan J, Tong L, Liu S, Zhang Y.</t>
  </si>
  <si>
    <t>J Cell Physiol. 2022 Jan;237(1):161-168. doi: 10.1002/jcp.30553. Epub 2021 Aug 13.</t>
  </si>
  <si>
    <t>Liu Z</t>
  </si>
  <si>
    <t>J Cell Physiol</t>
  </si>
  <si>
    <t>PMC9292261</t>
  </si>
  <si>
    <t>10.1002/jcp.30553</t>
  </si>
  <si>
    <t>Huang X, Yuan T, Tschannen M, Sun Z, Jacob H, Du M, Liang M, Dittmar RL, Liu Y, Liang M, Kohli M, Thibodeau SN, Boardman L, Wang L.</t>
  </si>
  <si>
    <t>BMC Genomics. 2013 May 10;14:319. doi: 10.1186/1471-2164-14-319.</t>
  </si>
  <si>
    <t>Huang X</t>
  </si>
  <si>
    <t>BMC Genomics</t>
  </si>
  <si>
    <t>PMC3653748</t>
  </si>
  <si>
    <t>Metabolomics reveals signature of mitochondrial dysfunction in diabetic kidney disease</t>
  </si>
  <si>
    <t>Sharma K, Karl B, Mathew AV, Gangoiti JA, Wassel CL, Saito R, Pu M, Sharma S, You YH, Wang L, Diamond-Stanic M, Lindenmeyer MT, Forsblom C, Wu W, Ix JH, Ideker T, Kopp JB, Nigam SK, Cohen CD, Groop PH, Barshop BA, Natarajan L, Nyhan WL, Naviaux RK.</t>
  </si>
  <si>
    <t>J Am Soc Nephrol. 2013 Nov;24(11):1901-12. doi: 10.1681/ASN.2013020126. Epub 2013 Oct 10.</t>
  </si>
  <si>
    <t>Sharma K</t>
  </si>
  <si>
    <t>J Am Soc Nephrol</t>
  </si>
  <si>
    <t>PMC3810086</t>
  </si>
  <si>
    <t>Exosomal DMBT1 from human urine-derived stem cells facilitates diabetic wound repair by promoting angiogenesis</t>
  </si>
  <si>
    <t>Chen CY, Rao SS, Ren L, Hu XK, Tan YJ, Hu Y, Luo J, Liu YW, Yin H, Huang J, Cao J, Wang ZX, Liu ZZ, Liu HM, Tang SY, Xu R, Xie H.</t>
  </si>
  <si>
    <t>Theranostics. 2018 Feb 7;8(6):1607-1623. doi: 10.7150/thno.22958. eCollection 2018.</t>
  </si>
  <si>
    <t>Chen CY</t>
  </si>
  <si>
    <t>PMC5858170</t>
  </si>
  <si>
    <t>10.7150/thno.22958</t>
  </si>
  <si>
    <t>A novel mechanism of rapid nuclear neutrophil extracellular trap formation in response to Staphylococcus aureus</t>
  </si>
  <si>
    <t>Pilsczek FH, Salina D, Poon KK, Fahey C, Yipp BG, Sibley CD, Robbins SM, Green FH, Surette MG, Sugai M, Bowden MG, Hussain M, Zhang K, Kubes P.</t>
  </si>
  <si>
    <t>J Immunol. 2010 Dec 15;185(12):7413-25. doi: 10.4049/jimmunol.1000675. Epub 2010 Nov 22.</t>
  </si>
  <si>
    <t>Pilsczek FH</t>
  </si>
  <si>
    <t>J Immunol</t>
  </si>
  <si>
    <t>Armacki M, Polaschek S, Waldenmaier M, Morawe M, Ruhland C, Schmid R, Lechel A, Tharehalli U, Steup C, Bektas Y, Li H, Kraus JM, Kestler HA, Kruger S, Ormanns S, Walther P, Eiseler T, Seufferlein T.</t>
  </si>
  <si>
    <t>Gastroenterology. 2020 Sep;159(3):1019-1035.e22. doi: 10.1053/j.gastro.2020.05.052. Epub 2020 May 22.</t>
  </si>
  <si>
    <t>Armacki M</t>
  </si>
  <si>
    <t>Sanchez II, Nguyen TB, England WE, Lim RG, Vu AQ, Miramontes R, Byrne LM, Markmiller S, Lau AL, Orellana I, Curtis MA, Faull RLM, Yeo GW, Fowler CD, Reidling JC, Wild EJ, Spitale RC, Thompson LM.</t>
  </si>
  <si>
    <t>J Clin Invest. 2021 Jun 15;131(12):e140723. doi: 10.1172/JCI140723.</t>
  </si>
  <si>
    <t>Sanchez II</t>
  </si>
  <si>
    <t>J Clin Invest</t>
  </si>
  <si>
    <t>PMC8203471</t>
  </si>
  <si>
    <t>Initial genome sequencing and analysis of multiple myeloma</t>
  </si>
  <si>
    <t>Chapman MA, Lawrence MS, Keats JJ, Cibulskis K, Sougnez C, Schinzel AC, Harview CL, Brunet JP, Ahmann GJ, Adli M, Anderson KC, Ardlie KG, Auclair D, Baker A, Bergsagel PL, Bernstein BE, Drier Y, Fonseca R, Gabriel SB, Hofmeister CC, Jagannath S, Jakubowiak AJ, Krishnan A, Levy J, Liefeld T, Lonial S, Mahan S, Mfuko B, Monti S, Perkins LM, Onofrio R, Pugh TJ, Rajkumar SV, Ramos AH, Siegel DS, Sivachenko A, Stewart AK, Trudel S, Vij R, Voet D, Winckler W, Zimmerman T, Carpten J, Trent J, Hahn WC, Garraway LA, Meyerson M, Lander ES, Getz G, Golub TR.</t>
  </si>
  <si>
    <t>Nature. 2011 Mar 24;471(7339):467-72. doi: 10.1038/nature09837.</t>
  </si>
  <si>
    <t>Chapman MA</t>
  </si>
  <si>
    <t>Nature</t>
  </si>
  <si>
    <t>PMC3560292</t>
  </si>
  <si>
    <t>NIHMS385546</t>
  </si>
  <si>
    <t>10.1038/nature09837</t>
  </si>
  <si>
    <t>Zhou C, Zhang Y, Yan R, Huang L, Mellor AL, Yang Y, Chen X, Wei W, Wu X, Yu L, Liang L, Zhang D, Wu S, Wang W.</t>
  </si>
  <si>
    <t>Cell Death Differ. 2021 Feb;28(2):715-729. doi: 10.1038/s41418-020-00618-6. Epub 2020 Sep 14.</t>
  </si>
  <si>
    <t>Zhou C</t>
  </si>
  <si>
    <t>Cell Death Differ</t>
  </si>
  <si>
    <t>PMC7862304</t>
  </si>
  <si>
    <t>Li Y, Bax C, Patel J, Vazquez T, Ravishankar A, Bashir MM, Grinnell M, Diaz D, Werth VP.</t>
  </si>
  <si>
    <t>Theranostics. 2021 May 21;11(15):7144-7158. doi: 10.7150/thno.59152. eCollection 2021.</t>
  </si>
  <si>
    <t>Li Y</t>
  </si>
  <si>
    <t>PMC8210592</t>
  </si>
  <si>
    <t>Current and Emerging Applications of Droplet Digital PCR in Oncology: An Updated Review</t>
  </si>
  <si>
    <t>Olmedillas-López S, Olivera-Salazar R, García-Arranz M, García-Olmo D.</t>
  </si>
  <si>
    <t>Mol Diagn Ther. 2022 Jan;26(1):61-87. doi: 10.1007/s40291-021-00562-2. Epub 2021 Nov 13.</t>
  </si>
  <si>
    <t>Olmedillas-López S</t>
  </si>
  <si>
    <t>Mol Diagn Ther</t>
  </si>
  <si>
    <t>10.1007/s40291-021-00562-2</t>
  </si>
  <si>
    <t>Castellano JJ, Canals J, Han B, Díaz T, Monzo M, Navarro A.</t>
  </si>
  <si>
    <t>Methods Mol Biol. 2021;2348:285-304. doi: 10.1007/978-1-0716-1581-2_20.</t>
  </si>
  <si>
    <t>Castellano JJ</t>
  </si>
  <si>
    <t>Methods Mol Biol</t>
  </si>
  <si>
    <t>Sequencing the next generation of glioblastomas</t>
  </si>
  <si>
    <t>Jovčevska I.</t>
  </si>
  <si>
    <t>Crit Rev Clin Lab Sci. 2018 Jun;55(4):264-282. doi: 10.1080/10408363.2018.1462759. Epub 2018 Apr 18.</t>
  </si>
  <si>
    <t>Jovčevska I</t>
  </si>
  <si>
    <t>Crit Rev Clin Lab Sci</t>
  </si>
  <si>
    <t>10.1080/10408363.2018.1462759</t>
  </si>
  <si>
    <t>Extracellular vesicle interplay in cardiovascular pathophysiology</t>
  </si>
  <si>
    <t>Saheera S, Jani VP, Witwer KW, Kutty S.</t>
  </si>
  <si>
    <t>Am J Physiol Heart Circ Physiol. 2021 May 1;320(5):H1749-H1761. doi: 10.1152/ajpheart.00925.2020. Epub 2021 Mar 5.</t>
  </si>
  <si>
    <t>Saheera S</t>
  </si>
  <si>
    <t>Am J Physiol Heart Circ Physiol</t>
  </si>
  <si>
    <t>PMC8163654</t>
  </si>
  <si>
    <t>10.1152/ajpheart.00925.2020</t>
  </si>
  <si>
    <t>Microparticles in cancer</t>
  </si>
  <si>
    <t>Rak J.</t>
  </si>
  <si>
    <t>Semin Thromb Hemost. 2010 Nov;36(8):888-906. doi: 10.1055/s-0030-1267043. Epub 2010 Nov 3.</t>
  </si>
  <si>
    <t>Rak J</t>
  </si>
  <si>
    <t>Semin Thromb Hemost</t>
  </si>
  <si>
    <t>Choi D, Rak J, Gho YS.</t>
  </si>
  <si>
    <t>Methods Mol Biol. 2021;2261:193-206. doi: 10.1007/978-1-0716-1186-9_11.</t>
  </si>
  <si>
    <t>Choi D</t>
  </si>
  <si>
    <t>DNA Associated with Circulating Exosomes as a Biomarker for Glioma</t>
  </si>
  <si>
    <t>Vaidya M, Sugaya K.</t>
  </si>
  <si>
    <t>Genes (Basel). 2020 Oct 29;11(11):1276. doi: 10.3390/genes11111276.</t>
  </si>
  <si>
    <t>Vaidya M</t>
  </si>
  <si>
    <t>Genes (Basel)</t>
  </si>
  <si>
    <t>PMC7692052</t>
  </si>
  <si>
    <t>10.3390/genes11111276</t>
  </si>
  <si>
    <t>Recent Advances in the Use of Exosomes in Sjögren's Syndrome</t>
  </si>
  <si>
    <t>Huang Y, Li R, Ye S, Lin S, Yin G, Xie Q.</t>
  </si>
  <si>
    <t>Front Immunol. 2020 Aug 6;11:1509. doi: 10.3389/fimmu.2020.01509. eCollection 2020.</t>
  </si>
  <si>
    <t>Huang Y</t>
  </si>
  <si>
    <t>Front Immunol</t>
  </si>
  <si>
    <t>PMC7438915</t>
  </si>
  <si>
    <t>10.3389/fimmu.2020.01509</t>
  </si>
  <si>
    <t>Neuberger EWI, Hillen B, Mayr K, Simon P, Krämer-Albers EM, Brahmer A.</t>
  </si>
  <si>
    <t>Genes (Basel). 2021 Apr 2;12(4):522. doi: 10.3390/genes12040522.</t>
  </si>
  <si>
    <t>Neuberger EWI</t>
  </si>
  <si>
    <t>PMC8065814</t>
  </si>
  <si>
    <t>Exosomes in head and neck cancer: Roles, mechanisms and applications</t>
  </si>
  <si>
    <t>Cao J, Zhang M, Xie F, Lou J, Zhou X, Zhang L, Fang M, Zhou F.</t>
  </si>
  <si>
    <t>Cancer Lett. 2020 Dec 1;494:7-16. doi: 10.1016/j.canlet.2020.07.005. Epub 2020 Aug 8.</t>
  </si>
  <si>
    <t>Cao J</t>
  </si>
  <si>
    <t>Cancer Lett</t>
  </si>
  <si>
    <t>10.1016/j.canlet.2020.07.005</t>
  </si>
  <si>
    <t>Extracellular vesicles and their roles in stem cell biology</t>
  </si>
  <si>
    <t>Hur YH, Cerione RA, Antonyak MA.</t>
  </si>
  <si>
    <t>Stem Cells. 2020 Apr;38(4):469-476. doi: 10.1002/stem.3140. Epub 2020 Jan 10.</t>
  </si>
  <si>
    <t>Hur YH</t>
  </si>
  <si>
    <t>Stem Cells</t>
  </si>
  <si>
    <t>PMC7703835</t>
  </si>
  <si>
    <t>NIHMS1575523</t>
  </si>
  <si>
    <t>10.1002/stem.3140</t>
  </si>
  <si>
    <t>Natural-Killer-Derived Extracellular Vesicles: Immune Sensors and Interactors</t>
  </si>
  <si>
    <t>Federici C, Shahaj E, Cecchetti S, Camerini S, Casella M, Iessi E, Camisaschi C, Paolino G, Calvieri S, Ferro S, Cova A, Squarcina P, Bertuccini L, Iosi F, Huber V, Lugini L.</t>
  </si>
  <si>
    <t>Front Immunol. 2020 Mar 13;11:262. doi: 10.3389/fimmu.2020.00262. eCollection 2020.</t>
  </si>
  <si>
    <t>Federici C</t>
  </si>
  <si>
    <t>PMC7082405</t>
  </si>
  <si>
    <t>10.3389/fimmu.2020.00262</t>
  </si>
  <si>
    <t>Circulating biomarkers for gliomas</t>
  </si>
  <si>
    <t>Westphal M, Lamszus K.</t>
  </si>
  <si>
    <t>Nat Rev Neurol. 2015 Oct;11(10):556-66. doi: 10.1038/nrneurol.2015.171. Epub 2015 Sep 15.</t>
  </si>
  <si>
    <t>Westphal M</t>
  </si>
  <si>
    <t>Nat Rev Neurol</t>
  </si>
  <si>
    <t>10.1038/nrneurol.2015.171</t>
  </si>
  <si>
    <t>Salivary Exosomes: Emerging Roles in Systemic Disease</t>
  </si>
  <si>
    <t>Han Y, Jia L, Zheng Y, Li W.</t>
  </si>
  <si>
    <t>Int J Biol Sci. 2018 Apr 30;14(6):633-643. doi: 10.7150/ijbs.25018. eCollection 2018.</t>
  </si>
  <si>
    <t>Han Y</t>
  </si>
  <si>
    <t>Int J Biol Sci</t>
  </si>
  <si>
    <t>PMC6001649</t>
  </si>
  <si>
    <t>10.7150/ijbs.25018</t>
  </si>
  <si>
    <t>Wang X, Weidling I, Koppel S, Menta B, Perez Ortiz J, Kalani A, Wilkins HM, Swerdlow RH.</t>
  </si>
  <si>
    <t>Mitochondrion. 2020 Nov;55:100-110. doi: 10.1016/j.mito.2020.09.006. Epub 2020 Sep 24.</t>
  </si>
  <si>
    <t>Wang X</t>
  </si>
  <si>
    <t>Mitochondrion</t>
  </si>
  <si>
    <t>PMC7669644</t>
  </si>
  <si>
    <t>NIHMS1631964</t>
  </si>
  <si>
    <t>Werner B, Yuwono N, Duggan J, Liu D, David C, Srirangan S, Provan P; INOVATe Investigators, DeFazio A, Arora V, Farrell R, Lee YC, Warton K, Ford C.</t>
  </si>
  <si>
    <t>Gynecol Oncol. 2021 Sep;162(3):720-727. doi: 10.1016/j.ygyno.2021.06.028. Epub 2021 Jul 5.</t>
  </si>
  <si>
    <t>Werner B</t>
  </si>
  <si>
    <t>Gynecol Oncol</t>
  </si>
  <si>
    <t>Exosomal biomarkers for cancer diagnosis and patient monitoring</t>
  </si>
  <si>
    <t>Makler A, Asghar W.</t>
  </si>
  <si>
    <t>Expert Rev Mol Diagn. 2020 Apr;20(4):387-400. doi: 10.1080/14737159.2020.1731308. Epub 2020 Feb 20.</t>
  </si>
  <si>
    <t>Makler A</t>
  </si>
  <si>
    <t>PMC7071954</t>
  </si>
  <si>
    <t>NIHMS1567517</t>
  </si>
  <si>
    <t>10.1080/14737159.2020.1731308</t>
  </si>
  <si>
    <t>Tang KD, Wan Y, Zhang X, Bozyk N, Vasani S, Kenny L, Punyadeera C.</t>
  </si>
  <si>
    <t>Mol Diagn Ther. 2021 Jul;25(4):505-515. doi: 10.1007/s40291-021-00538-2. Epub 2021 Jun 2.</t>
  </si>
  <si>
    <t>Tang KD</t>
  </si>
  <si>
    <t>Quantification of mtDNA in extracellular vesicles</t>
  </si>
  <si>
    <t>Soltesz B, Nagy B.</t>
  </si>
  <si>
    <t>Methods Enzymol. 2020;645:119-140. doi: 10.1016/bs.mie.2020.07.005. Epub 2020 Aug 5.</t>
  </si>
  <si>
    <t>Soltesz B</t>
  </si>
  <si>
    <t>Methods Enzymol</t>
  </si>
  <si>
    <t>10.1016/bs.mie.2020.07.005</t>
  </si>
  <si>
    <t>Joncas FH, Lucien F, Rouleau M, Morin F, Leong HS, Pouliot F, Fradet Y, Gilbert C, Toren P.</t>
  </si>
  <si>
    <t>Prostate. 2019 Nov;79(15):1767-1776. doi: 10.1002/pros.23901. Epub 2019 Sep 2.</t>
  </si>
  <si>
    <t>Joncas FH</t>
  </si>
  <si>
    <t>Prostate</t>
  </si>
  <si>
    <t>Hur JY, Kim HJ, Lee JS, Choi CM, Lee JC, Jung MK, Pack CG, Lee KY.</t>
  </si>
  <si>
    <t>Mol Cancer. 2018 Jan 27;17(1):15. doi: 10.1186/s12943-018-0772-6.</t>
  </si>
  <si>
    <t>Hur JY</t>
  </si>
  <si>
    <t>Mol Cancer</t>
  </si>
  <si>
    <t>PMC5787306</t>
  </si>
  <si>
    <t>Microfluidic systems for cancer diagnostics</t>
  </si>
  <si>
    <t>Garcia-Cordero JL, Maerkl SJ.</t>
  </si>
  <si>
    <t>Curr Opin Biotechnol. 2020 Oct;65:37-44. doi: 10.1016/j.copbio.2019.11.022. Epub 2019 Dec 28.</t>
  </si>
  <si>
    <t>Garcia-Cordero JL</t>
  </si>
  <si>
    <t>Curr Opin Biotechnol</t>
  </si>
  <si>
    <t>10.1016/j.copbio.2019.11.022</t>
  </si>
  <si>
    <t>Tumor-derived exosomes: Potential biomarker or therapeutic target in breast cancer?</t>
  </si>
  <si>
    <t>Hesari A, Golrokh Moghadam SA, Siasi A, Rahmani M, Behboodi N, Rastgar-Moghadam A, Ferns GA, Ghasemi F, Avan A.</t>
  </si>
  <si>
    <t>J Cell Biochem. 2018 Jun;119(6):4236-4240. doi: 10.1002/jcb.26364. Epub 2018 Mar 7.</t>
  </si>
  <si>
    <t>Hesari A</t>
  </si>
  <si>
    <t>J Cell Biochem</t>
  </si>
  <si>
    <t>10.1002/jcb.26364</t>
  </si>
  <si>
    <t>The Role of Liquid Biopsies in Pediatric Brain Tumors</t>
  </si>
  <si>
    <t>Tang K, Gardner S, Snuderl M.</t>
  </si>
  <si>
    <t>J Neuropathol Exp Neurol. 2020 Sep 1;79(9):934-940. doi: 10.1093/jnen/nlaa068.</t>
  </si>
  <si>
    <t>Tang K</t>
  </si>
  <si>
    <t>J Neuropathol Exp Neurol</t>
  </si>
  <si>
    <t>PMC8453615</t>
  </si>
  <si>
    <t>10.1093/jnen/nlaa068</t>
  </si>
  <si>
    <t>MS-Based Biomarker Discovery in Bronchoalveolar Lavage Fluid for Lung Cancer</t>
  </si>
  <si>
    <t>Matthiesen R.</t>
  </si>
  <si>
    <t>Proteomics Clin Appl. 2020 Jan;14(1):e1900077. doi: 10.1002/prca.201900077. Epub 2019 Nov 12.</t>
  </si>
  <si>
    <t>Matthiesen R</t>
  </si>
  <si>
    <t>Proteomics Clin Appl</t>
  </si>
  <si>
    <t>10.1002/prca.201900077</t>
  </si>
  <si>
    <t>Brambilla D, Sola L, Ferretti AM, Chiodi E, Zarovni N, Fortunato D, Criscuoli M, Dolo V, Giusti I, Murdica V, Kluszczyńska K, Czernek L, Düchler M, Vago R, Chiari M.</t>
  </si>
  <si>
    <t>Anal Chem. 2021 Apr 6;93(13):5476-5483. doi: 10.1021/acs.analchem.0c05194. Epub 2021 Mar 26.</t>
  </si>
  <si>
    <t>Brambilla D</t>
  </si>
  <si>
    <t>Anal Chem</t>
  </si>
  <si>
    <t>Scribano S, Guerrini M, Arvia R, Guasti D, Nardini P, Romagnoli P, Giannecchini S.</t>
  </si>
  <si>
    <t>J Clin Virol. 2020 Jul;128:104435. doi: 10.1016/j.jcv.2020.104435. Epub 2020 May 19.</t>
  </si>
  <si>
    <t>Scribano S</t>
  </si>
  <si>
    <t>J Clin Virol</t>
  </si>
  <si>
    <t>10.1016/j.jcv.2020.104435</t>
  </si>
  <si>
    <t>Zhou M, Li C, Wang B, Huang L.</t>
  </si>
  <si>
    <t>Anal Methods. 2021 Sep 16;13(35):4001-4007. doi: 10.1039/d1ay00854d.</t>
  </si>
  <si>
    <t>Zhou M</t>
  </si>
  <si>
    <t>Anal Methods</t>
  </si>
  <si>
    <t>Rhee SJ, Kim H, Lee Y, Lee HJ, Park CHK, Yang J, Kim YK, Ahn YM.</t>
  </si>
  <si>
    <t>Sci Rep. 2021 Jul 7;11(1):13987. doi: 10.1038/s41598-021-93112-z.</t>
  </si>
  <si>
    <t>Rhee SJ</t>
  </si>
  <si>
    <t>Sci Rep</t>
  </si>
  <si>
    <t>PMC8263754</t>
  </si>
  <si>
    <t>Large extracellular vesicles: Size matters in tumor progression</t>
  </si>
  <si>
    <t>Ciardiello C, Migliorino R, Leone A, Budillon A.</t>
  </si>
  <si>
    <t>Cytokine Growth Factor Rev. 2020 Feb;51:69-74. doi: 10.1016/j.cytogfr.2019.12.007. Epub 2019 Dec 31.</t>
  </si>
  <si>
    <t>Ciardiello C</t>
  </si>
  <si>
    <t>Cytokine Growth Factor Rev</t>
  </si>
  <si>
    <t>10.1016/j.cytogfr.2019.12.007</t>
  </si>
  <si>
    <t>Yaşa B, Şahin O, Öcüt E, Seven M, Sözer S.</t>
  </si>
  <si>
    <t>Reprod Sci. 2021 Feb;28(2):562-569. doi: 10.1007/s43032-020-00321-4. Epub 2020 Sep 23.</t>
  </si>
  <si>
    <t>Yaşa B</t>
  </si>
  <si>
    <t>Reprod Sci</t>
  </si>
  <si>
    <t>Exosome-based strategies for Diagnosis and Therapy</t>
  </si>
  <si>
    <t>Urbanelli L, Buratta S, Sagini K, Ferrara G, Lanni M, Emiliani C.</t>
  </si>
  <si>
    <t>Recent Pat CNS Drug Discov. 2015;10(1):10-27. doi: 10.2174/1574889810666150702124059.</t>
  </si>
  <si>
    <t>Urbanelli L</t>
  </si>
  <si>
    <t>Recent Pat CNS Drug Discov</t>
  </si>
  <si>
    <t>10.2174/1574889810666150702124059</t>
  </si>
  <si>
    <t>miR-210 transferred by lung cancer cell-derived exosomes may act as proangiogenic factor in cancer-associated fibroblasts by modulating JAK2/STAT3 pathway</t>
  </si>
  <si>
    <t>Fan J, Xu G, Chang Z, Zhu L, Yao J.</t>
  </si>
  <si>
    <t>Clin Sci (Lond). 2020 Apr 17;134(7):807-825. doi: 10.1042/CS20200039.</t>
  </si>
  <si>
    <t>Fan J</t>
  </si>
  <si>
    <t>Clin Sci (Lond)</t>
  </si>
  <si>
    <t>10.1042/CS20200039</t>
  </si>
  <si>
    <t>Schwager SC, Bordeleau F, Zhang J, Antonyak MA, Cerione RA, Reinhart-King CA.</t>
  </si>
  <si>
    <t>Am J Physiol Cell Physiol. 2019 Jul 1;317(1):C82-C92. doi: 10.1152/ajpcell.00418.2018. Epub 2019 Apr 24.</t>
  </si>
  <si>
    <t>Schwager SC</t>
  </si>
  <si>
    <t>Am J Physiol Cell Physiol</t>
  </si>
  <si>
    <t>PMC6689748</t>
  </si>
  <si>
    <t>New insights into extracellular vesicle biogenesis and function</t>
  </si>
  <si>
    <t>Latifkar A, Hur YH, Sanchez JC, Cerione RA, Antonyak MA.</t>
  </si>
  <si>
    <t>J Cell Sci. 2019 Jul 1;132(13):jcs222406. doi: 10.1242/jcs.222406.</t>
  </si>
  <si>
    <t>Latifkar A</t>
  </si>
  <si>
    <t>J Cell Sci</t>
  </si>
  <si>
    <t>PMC6633391</t>
  </si>
  <si>
    <t>10.1242/jcs.222406</t>
  </si>
  <si>
    <t>Bracht JWP, Gimenez-Capitan A, Huang CY, Potie N, Pedraz-Valdunciel C, Warren S, Rosell R, Molina-Vila MA.</t>
  </si>
  <si>
    <t>Sci Rep. 2021 Feb 12;11(1):3712. doi: 10.1038/s41598-021-83132-0.</t>
  </si>
  <si>
    <t>Bracht JWP</t>
  </si>
  <si>
    <t>PMC7881020</t>
  </si>
  <si>
    <t>Sun L, Meckes DG Jr.</t>
  </si>
  <si>
    <t>Sci Rep. 2021 Jun 14;11(1):12477. doi: 10.1038/s41598-021-92012-6.</t>
  </si>
  <si>
    <t>Sun L</t>
  </si>
  <si>
    <t>PMC8203679</t>
  </si>
  <si>
    <t>Extracellular vesicle-associated repetitive element DNAs as candidate osteosarcoma biomarkers</t>
  </si>
  <si>
    <t>Cambier L, Stachelek K, Triska M, Jubran R, Huang M, Li W, Zhang J, Li J, Cobrinik D.</t>
  </si>
  <si>
    <t>Sci Rep. 2021 Jan 8;11(1):94. doi: 10.1038/s41598-020-77398-z.</t>
  </si>
  <si>
    <t>Cambier L</t>
  </si>
  <si>
    <t>PMC7794510</t>
  </si>
  <si>
    <t>Tumor-derived exosomes in cancer progression and treatment failure</t>
  </si>
  <si>
    <t>Yu S, Cao H, Shen B, Feng J.</t>
  </si>
  <si>
    <t>Oncotarget. 2015 Nov 10;6(35):37151-68. doi: 10.18632/oncotarget.6022.</t>
  </si>
  <si>
    <t>Yu S</t>
  </si>
  <si>
    <t>Oncotarget</t>
  </si>
  <si>
    <t>PMC4741921</t>
  </si>
  <si>
    <t>10.18632/oncotarget.6022</t>
  </si>
  <si>
    <t>Hagey DW, Kordes M, Görgens A, Mowoe MO, Nordin JZ, Moro CF, Löhr JM, El Andaloussi S.</t>
  </si>
  <si>
    <t>J Extracell Vesicles. 2021 Oct;10(12):e12142. doi: 10.1002/jev2.12142.</t>
  </si>
  <si>
    <t>Hagey DW</t>
  </si>
  <si>
    <t>J Extracell Vesicles</t>
  </si>
  <si>
    <t>PMC8485184</t>
  </si>
  <si>
    <t>Martelli F, Macera L, Spezia PG, Medici C, Pistello M, Guasti D, Romagnoli P, Maggi F, Giannecchini S.</t>
  </si>
  <si>
    <t>Virol J. 2018 Sep 20;15(1):145. doi: 10.1186/s12985-018-1055-y.</t>
  </si>
  <si>
    <t>Martelli F</t>
  </si>
  <si>
    <t>Virol J</t>
  </si>
  <si>
    <t>PMC6149034</t>
  </si>
  <si>
    <t>Casadei L, Choudhury A, Sarchet P, Mohana Sundaram P, Lopez G, Braggio D, Balakirsky G, Pollock R, Prakash S.</t>
  </si>
  <si>
    <t>J Extracell Vesicles. 2021 Feb;10(4):e12062. doi: 10.1002/jev2.12062. Epub 2021 Feb 16.</t>
  </si>
  <si>
    <t>Casadei L</t>
  </si>
  <si>
    <t>PMC7887429</t>
  </si>
  <si>
    <t>Roy JW, Taylor CA, Beauregard AP, Dhadi SR, Ayre DC, Fry S, Chacko S, Wajnberg G, Joy AP, Mai-Thi NN, Crapoulet N, Barnett DA, Ghosh A, Lewis SM, Ouellette RJ.</t>
  </si>
  <si>
    <t>Sci Rep. 2021 Apr 13;11(1):8085. doi: 10.1038/s41598-021-87526-y.</t>
  </si>
  <si>
    <t>Roy JW</t>
  </si>
  <si>
    <t>PMC8044196</t>
  </si>
  <si>
    <t>Long noncoding RNAs biomarker-based cancer assessment</t>
  </si>
  <si>
    <t>Sarfi M, Abbastabar M, Khalili E.</t>
  </si>
  <si>
    <t>J Cell Physiol. 2019 Aug;234(10):16971-16986. doi: 10.1002/jcp.28417. Epub 2019 Mar 5.</t>
  </si>
  <si>
    <t>Sarfi M</t>
  </si>
  <si>
    <t>10.1002/jcp.28417</t>
  </si>
  <si>
    <t>Kamyabi N, Abbasgholizadeh R, Maitra A, Ardekani A, Biswal SL, Grande-Allen KJ.</t>
  </si>
  <si>
    <t>Biomed Microdevices. 2020 Mar 11;22(2):23. doi: 10.1007/s10544-020-00483-7.</t>
  </si>
  <si>
    <t>Kamyabi N</t>
  </si>
  <si>
    <t>Biomed Microdevices</t>
  </si>
  <si>
    <t>Biology, Pathophysiological Role, and Clinical Implications of Exosomes: A Critical Appraisal</t>
  </si>
  <si>
    <t>Jan AT, Rahman S, Khan S, Tasduq SA, Choi I.</t>
  </si>
  <si>
    <t>Cells. 2019 Jan 29;8(2):99. doi: 10.3390/cells8020099.</t>
  </si>
  <si>
    <t>Jan AT</t>
  </si>
  <si>
    <t>Cells</t>
  </si>
  <si>
    <t>PMC6406279</t>
  </si>
  <si>
    <t>10.3390/cells8020099</t>
  </si>
  <si>
    <t>Jones E, Stentz R, Telatin A, Savva GM, Booth C, Baker D, Rudder S, Knight SC, Noble A, Carding SR.</t>
  </si>
  <si>
    <t>Genes (Basel). 2021 Oct 18;12(10):1636. doi: 10.3390/genes12101636.</t>
  </si>
  <si>
    <t>Jones E</t>
  </si>
  <si>
    <t>PMC8535827</t>
  </si>
  <si>
    <t>Smalheiser NR, Gomes OL.</t>
  </si>
  <si>
    <t>Biol Direct. 2014 Dec 4;10:27. doi: 10.1186/s13062-014-0027-4.</t>
  </si>
  <si>
    <t>Smalheiser NR</t>
  </si>
  <si>
    <t>Biol Direct</t>
  </si>
  <si>
    <t>PMC4258305</t>
  </si>
  <si>
    <t>Plasma DNA Analysis in Prostate Cancer: Opportunities for Improving Clinical Management</t>
  </si>
  <si>
    <t>Wu A, Attard G.</t>
  </si>
  <si>
    <t>Clin Chem. 2019 Jan;65(1):100-107. doi: 10.1373/clinchem.2018.287250. Epub 2018 Dec 11.</t>
  </si>
  <si>
    <t>Wu A</t>
  </si>
  <si>
    <t>Clin Chem</t>
  </si>
  <si>
    <t>10.1373/clinchem.2018.287250</t>
  </si>
  <si>
    <t>Liquid Biopsy in Primary Brain Tumors: Looking for Stardust!</t>
  </si>
  <si>
    <t>Fontanilles M, Duran-Peña A, Idbaih A.</t>
  </si>
  <si>
    <t>Curr Neurol Neurosci Rep. 2018 Mar 9;18(3):13. doi: 10.1007/s11910-018-0820-z.</t>
  </si>
  <si>
    <t>Fontanilles M</t>
  </si>
  <si>
    <t>Curr Neurol Neurosci Rep</t>
  </si>
  <si>
    <t>10.1007/s11910-018-0820-z</t>
  </si>
  <si>
    <t>Nuclear receptor tyrosine kinase transport and functions in cancer</t>
  </si>
  <si>
    <t>Chen MK, Hsu JL, Hung MC.</t>
  </si>
  <si>
    <t>Adv Cancer Res. 2020;147:59-107. doi: 10.1016/bs.acr.2020.04.010. Epub 2020 Jun 13.</t>
  </si>
  <si>
    <t>Chen MK</t>
  </si>
  <si>
    <t>Adv Cancer Res</t>
  </si>
  <si>
    <t>10.1016/bs.acr.2020.04.010</t>
  </si>
  <si>
    <t>Circulating Y-RNAs in Extracellular Vesicles and Ribonucleoprotein Complexes; Implications for the Immune System</t>
  </si>
  <si>
    <t>Driedonks TAP, Nolte-'t Hoen ENM.</t>
  </si>
  <si>
    <t>Front Immunol. 2019 Jan 15;9:3164. doi: 10.3389/fimmu.2018.03164. eCollection 2018.</t>
  </si>
  <si>
    <t>Driedonks TAP</t>
  </si>
  <si>
    <t>PMC6340977</t>
  </si>
  <si>
    <t>10.3389/fimmu.2018.03164</t>
  </si>
  <si>
    <t>Tumor-derived exosomes and microvesicles in head and neck cancer: implications for tumor biology and biomarker discovery</t>
  </si>
  <si>
    <t>Principe S, Hui AB, Bruce J, Sinha A, Liu FF, Kislinger T.</t>
  </si>
  <si>
    <t>Proteomics. 2013 May;13(10-11):1608-23. doi: 10.1002/pmic.201200533.</t>
  </si>
  <si>
    <t>Principe S</t>
  </si>
  <si>
    <t>Proteomics</t>
  </si>
  <si>
    <t>10.1002/pmic.201200533</t>
  </si>
  <si>
    <t>Montaner-Tarbes S, Pujol M, Jabbar T, Hawes P, Chapman D, Portillo HD, Fraile L, Sánchez-Cordón PJ, Dixon L, Montoya M.</t>
  </si>
  <si>
    <t>Viruses. 2019 Sep 20;11(10):882. doi: 10.3390/v11100882.</t>
  </si>
  <si>
    <t>Montaner-Tarbes S</t>
  </si>
  <si>
    <t>Viruses</t>
  </si>
  <si>
    <t>PMC6832119</t>
  </si>
  <si>
    <t>Metagenome analysis using serum extracellular vesicles identified distinct microbiota in asthmatics</t>
  </si>
  <si>
    <t>Lee JH, Choi JP, Yang J, Won HK, Park CS, Song WJ, Kwon HS, Kim TB, Kim YK, Park HS, Cho YS.</t>
  </si>
  <si>
    <t>Sci Rep. 2020 Sep 15;10(1):15125. doi: 10.1038/s41598-020-72242-w.</t>
  </si>
  <si>
    <t>Lee JH</t>
  </si>
  <si>
    <t>PMC7492258</t>
  </si>
  <si>
    <t>10.1038/s41598-020-72242-w</t>
  </si>
  <si>
    <t>Concentration of cell-free DNA in different tumor types</t>
  </si>
  <si>
    <t>Bryzgunova OE, Konoshenko MY, Laktionov PP.</t>
  </si>
  <si>
    <t>Expert Rev Mol Diagn. 2021 Jan;21(1):63-75. doi: 10.1080/14737159.2020.1860021. Epub 2020 Dec 21.</t>
  </si>
  <si>
    <t>Bryzgunova OE</t>
  </si>
  <si>
    <t>10.1080/14737159.2020.1860021</t>
  </si>
  <si>
    <t>LTB(4) and 5-oxo-ETE from extracellular vesicles stimulate neutrophils in granulomatosis with polyangiitis</t>
  </si>
  <si>
    <t>Surmiak M, Gielicz A, Stojkov D, Szatanek R, Wawrzycka-Adamczyk K, Yousefi S, Simon HU, Sanak M.</t>
  </si>
  <si>
    <t>J Lipid Res. 2020 Jan;61(1):1-9. doi: 10.1194/jlr.M092072. Epub 2019 Nov 18.</t>
  </si>
  <si>
    <t>Surmiak M</t>
  </si>
  <si>
    <t>J Lipid Res</t>
  </si>
  <si>
    <t>PMC6939603</t>
  </si>
  <si>
    <t>Erozenci LA, Böttger F, Bijnsdorp IV, Jimenez CR.</t>
  </si>
  <si>
    <t>FEBS Lett. 2019 Jul;593(13):1580-1597. doi: 10.1002/1873-3468.13487.</t>
  </si>
  <si>
    <t>Erozenci LA</t>
  </si>
  <si>
    <t>FEBS Lett</t>
  </si>
  <si>
    <t>Thermophoretic Detection of Exosomal microRNAs by Nanoflares</t>
  </si>
  <si>
    <t>Zhao J, Liu C, Li Y, Ma Y, Deng J, Li L, Sun J.</t>
  </si>
  <si>
    <t>J Am Chem Soc. 2020 Mar 18;142(11):4996-5001. doi: 10.1021/jacs.9b13960. Epub 2020 Mar 6.</t>
  </si>
  <si>
    <t>Zhao J</t>
  </si>
  <si>
    <t>J Am Chem Soc</t>
  </si>
  <si>
    <t>10.1021/jacs.9b13960</t>
  </si>
  <si>
    <t>Progress and potential of exosome analysis for early pancreatic cancer detection</t>
  </si>
  <si>
    <t>Erb U, Zöller M.</t>
  </si>
  <si>
    <t>Expert Rev Mol Diagn. 2016 Jul;16(7):757-67. doi: 10.1080/14737159.2016.1187563. Epub 2016 Jun 1.</t>
  </si>
  <si>
    <t>Erb U</t>
  </si>
  <si>
    <t>10.1080/14737159.2016.1187563</t>
  </si>
  <si>
    <t>Nguyen B, Wong NC, Semple T, Clark M, Wong SQ, Leslie C, Mirzai B, Millward M, Meehan K, Lim AM.</t>
  </si>
  <si>
    <t>Sci Rep. 2021 Feb 17;11(1):4016. doi: 10.1038/s41598-021-83436-1.</t>
  </si>
  <si>
    <t>Nguyen B</t>
  </si>
  <si>
    <t>PMC7889887</t>
  </si>
  <si>
    <t>Dong J, Sakai K, Koma Y, Watanabe J, Liu K, Maruyama H, Sakaguchi K, Hibi H.</t>
  </si>
  <si>
    <t>Biochem Biophys Res Commun. 2021 Oct 20;575:28-35. doi: 10.1016/j.bbrc.2021.08.046. Epub 2021 Aug 23.</t>
  </si>
  <si>
    <t>Dong J</t>
  </si>
  <si>
    <t>Biochem Biophys Res Commun</t>
  </si>
  <si>
    <t>miRNA as markers for the diagnostic screening of colon cancer</t>
  </si>
  <si>
    <t>Ahmed FE.</t>
  </si>
  <si>
    <t>Expert Rev Anticancer Ther. 2014 Apr;14(4):463-85. doi: 10.1586/14737140.2014.869479. Epub 2014 Mar 3.</t>
  </si>
  <si>
    <t>Ahmed FE</t>
  </si>
  <si>
    <t>Expert Rev Anticancer Ther</t>
  </si>
  <si>
    <t>10.1586/14737140.2014.869479</t>
  </si>
  <si>
    <t>Increased activity of procoagulant factors in patients with small cell lung cancer</t>
  </si>
  <si>
    <t>Pedersen S, Kristensen AF, Falkmer U, Christiansen G, Kristensen SR.</t>
  </si>
  <si>
    <t>PLoS One. 2021 Jul 21;16(7):e0253613. doi: 10.1371/journal.pone.0253613. eCollection 2021.</t>
  </si>
  <si>
    <t>Pedersen S</t>
  </si>
  <si>
    <t>PLoS One</t>
  </si>
  <si>
    <t>PMC8294523</t>
  </si>
  <si>
    <t>10.1371/journal.pone.0253613</t>
  </si>
  <si>
    <t>Mao W, Wen Y, Lei H, Lu R, Wang S, Wang Y, Chen R, Gu Y, Zhu L, Abhange KK, Quinn ZJ, Chen Y, Xue F, Zheng M, Wan Y.</t>
  </si>
  <si>
    <t>Anal Chem. 2019 Nov 5;91(21):13729-13736. doi: 10.1021/acs.analchem.9b03064. Epub 2019 Oct 15.</t>
  </si>
  <si>
    <t>Mao W</t>
  </si>
  <si>
    <t>Circulating exosomes in obstructive sleep apnea as phenotypic biomarkers and mechanistic messengers of end-organ morbidity</t>
  </si>
  <si>
    <t>Khalyfa A, Kheirandish-Gozal L, Gozal D.</t>
  </si>
  <si>
    <t>Respir Physiol Neurobiol. 2018 Oct;256:143-156. doi: 10.1016/j.resp.2017.06.004. Epub 2017 Jul 1.</t>
  </si>
  <si>
    <t>Khalyfa A</t>
  </si>
  <si>
    <t>Respir Physiol Neurobiol</t>
  </si>
  <si>
    <t>PMC5748374</t>
  </si>
  <si>
    <t>NIHMS893253</t>
  </si>
  <si>
    <t>10.1016/j.resp.2017.06.004</t>
  </si>
  <si>
    <t>Rajkumar AP, Hye A, Lange J, Manesh YR, Ballard C, Fladby T, Aarsland D.</t>
  </si>
  <si>
    <t>Am J Geriatr Psychiatry. 2021 Jun;29(6):573-584. doi: 10.1016/j.jagp.2020.10.012. Epub 2020 Oct 27.</t>
  </si>
  <si>
    <t>Rajkumar AP</t>
  </si>
  <si>
    <t>Am J Geriatr Psychiatry</t>
  </si>
  <si>
    <t>Tamura R, Balabanova A, Frakes SA, Bargmann A, Grimm J, Koch TH, Yin H.</t>
  </si>
  <si>
    <t>J Med Chem. 2019 Feb 28;62(4):1959-1970. doi: 10.1021/acs.jmedchem.8b01508. Epub 2019 Feb 13.</t>
  </si>
  <si>
    <t>Tamura R</t>
  </si>
  <si>
    <t>J Med Chem</t>
  </si>
  <si>
    <t>Intercellular communication by extracellular vesicles and their microRNAs in asthma</t>
  </si>
  <si>
    <t>Fujita Y, Yoshioka Y, Ito S, Araya J, Kuwano K, Ochiya T.</t>
  </si>
  <si>
    <t>Clin Ther. 2014 Jun 1;36(6):873-81. doi: 10.1016/j.clinthera.2014.05.006. Epub 2014 Jun 6.</t>
  </si>
  <si>
    <t>Fujita Y</t>
  </si>
  <si>
    <t>Clin Ther</t>
  </si>
  <si>
    <t>10.1016/j.clinthera.2014.05.006</t>
  </si>
  <si>
    <t>Glycomics of prostate cancer: updates</t>
  </si>
  <si>
    <t>Tkac J, Bertok T, Hires M, Jane E, Lorencova L, Kasak P.</t>
  </si>
  <si>
    <t>Expert Rev Proteomics. 2019 Jan;16(1):65-76. doi: 10.1080/14789450.2019.1549993. Epub 2018 Nov 27.</t>
  </si>
  <si>
    <t>Tkac J</t>
  </si>
  <si>
    <t>Expert Rev Proteomics</t>
  </si>
  <si>
    <t>PMC7116386</t>
  </si>
  <si>
    <t>EMS103703</t>
  </si>
  <si>
    <t>10.1080/14789450.2019.1549993</t>
  </si>
  <si>
    <t>Remodeling of host membranes during herpesvirus assembly and egress</t>
  </si>
  <si>
    <t>Lv Y, Zhou S, Gao S, Deng H.</t>
  </si>
  <si>
    <t>Protein Cell. 2019 May;10(5):315-326. doi: 10.1007/s13238-018-0577-9. Epub 2018 Sep 21.</t>
  </si>
  <si>
    <t>Lv Y</t>
  </si>
  <si>
    <t>Protein Cell</t>
  </si>
  <si>
    <t>PMC6468031</t>
  </si>
  <si>
    <t>10.1007/s13238-018-0577-9</t>
  </si>
  <si>
    <t>Current Advances and Future Perspectives of Cerebrospinal Fluid Biopsy in Midline Brain Malignancies</t>
  </si>
  <si>
    <t>Pan Y, Long W, Liu Q.</t>
  </si>
  <si>
    <t>Curr Treat Options Oncol. 2019 Nov 29;20(12):88. doi: 10.1007/s11864-019-0689-3.</t>
  </si>
  <si>
    <t>Pan Y</t>
  </si>
  <si>
    <t>Curr Treat Options Oncol</t>
  </si>
  <si>
    <t>10.1007/s11864-019-0689-3</t>
  </si>
  <si>
    <t>Chen J, Xu Y, Wang X, Liu D, Yang F, Zhu X, Lu Y, Xing W.</t>
  </si>
  <si>
    <t>Lab Chip. 2019 Jan 29;19(3):432-443. doi: 10.1039/c8lc01193a.</t>
  </si>
  <si>
    <t>Chen J</t>
  </si>
  <si>
    <t>Lab Chip</t>
  </si>
  <si>
    <t>Nishimura T, Oyama T, Hu HT, Fujioka T, Hanawa-Suetsugu K, Ikeda K, Yamada S, Kawana H, Saigusa D, Ikeda H, Kurata R, Oono-Yakura K, Kitamata M, Kida K, Hikita T, Mizutani K, Yasuhara K, Mimori-Kiyosue Y, Oneyama C, Kurimoto K, Hosokawa Y, Aoki J, Takai Y, Arita M, Suetsugu S.</t>
  </si>
  <si>
    <t>Dev Cell. 2021 Mar 22;56(6):842-859.e8. doi: 10.1016/j.devcel.2021.02.029.</t>
  </si>
  <si>
    <t>Nishimura T</t>
  </si>
  <si>
    <t>Dev Cell</t>
  </si>
  <si>
    <t>Lucchetti D, Zurlo IV, Colella F, Ricciardi-Tenore C, Di Salvatore M, Tortora G, De Maria R, Giuliante F, Cassano A, Basso M, Crucitti A, Laurenzana I, Artemi G, Sgambato A.</t>
  </si>
  <si>
    <t>Sci Rep. 2021 Nov 22;11(1):22686. doi: 10.1038/s41598-021-01668-7.</t>
  </si>
  <si>
    <t>Lucchetti D</t>
  </si>
  <si>
    <t>PMC8608842</t>
  </si>
  <si>
    <t>Zhang K, Yue Y, Wu S, Liu W, Shi J, Zhang Z.</t>
  </si>
  <si>
    <t>ACS Sens. 2019 May 24;4(5):1245-1251. doi: 10.1021/acssensors.9b00060. Epub 2019 Apr 29.</t>
  </si>
  <si>
    <t>Zhang K</t>
  </si>
  <si>
    <t>ACS Sens</t>
  </si>
  <si>
    <t>Nguyen B, Meehan K, Pereira MR, Mirzai B, Lim SH, Leslie C, Clark M, Sader C, Friedland P, Lindsay A, Tang C, Millward M, Gray ES, Lim AM.</t>
  </si>
  <si>
    <t>Sci Rep. 2020 Apr 8;10(1):6083. doi: 10.1038/s41598-020-63180-8.</t>
  </si>
  <si>
    <t>PMC7142128</t>
  </si>
  <si>
    <t>Advanced liquid biopsy technologies for circulating biomarker detection</t>
  </si>
  <si>
    <t>Soda N, Rehm BHA, Sonar P, Nguyen NT, Shiddiky MJA.</t>
  </si>
  <si>
    <t>J Mater Chem B. 2019 Nov 21;7(43):6670-6704. doi: 10.1039/c9tb01490j. Epub 2019 Oct 24.</t>
  </si>
  <si>
    <t>Soda N</t>
  </si>
  <si>
    <t>J Mater Chem B</t>
  </si>
  <si>
    <t>10.1039/c9tb01490j</t>
  </si>
  <si>
    <t>Tengda L, Shuping L, Mingli G, Jie G, Yun L, Weiwei Z, Anmei D.</t>
  </si>
  <si>
    <t>Melanoma Res. 2018 Aug;28(4):295-303. doi: 10.1097/CMR.0000000000000450.</t>
  </si>
  <si>
    <t>Tengda L</t>
  </si>
  <si>
    <t>Melanoma Res</t>
  </si>
  <si>
    <t>J or H mtDNA haplogroups in retinal pigment epithelial cells: Effects on cell physiology, cargo in extracellular vesicles, and differential uptake of such vesicles by naïve recipient cells</t>
  </si>
  <si>
    <t>Nicholson C, Ishii M, Annamalai B, Chandler K, Chwa M, Kenney MC, Shah N, Rohrer B.</t>
  </si>
  <si>
    <t>Biochim Biophys Acta Gen Subj. 2021 Apr;1865(4):129798. doi: 10.1016/j.bbagen.2020.129798. Epub 2020 Nov 18.</t>
  </si>
  <si>
    <t>Nicholson C</t>
  </si>
  <si>
    <t>Biochim Biophys Acta Gen Subj</t>
  </si>
  <si>
    <t>PMC8396072</t>
  </si>
  <si>
    <t>NIHMS1733735</t>
  </si>
  <si>
    <t>Liquid biopsy: a step forward towards precision medicine in urologic malignancies</t>
  </si>
  <si>
    <t>Di Meo A, Bartlett J, Cheng Y, Pasic MD, Yousef GM.</t>
  </si>
  <si>
    <t>Mol Cancer. 2017 Apr 14;16(1):80. doi: 10.1186/s12943-017-0644-5.</t>
  </si>
  <si>
    <t>Di Meo A</t>
  </si>
  <si>
    <t>PMC5391592</t>
  </si>
  <si>
    <t>10.1186/s12943-017-0644-5</t>
  </si>
  <si>
    <t>Baseline serum exosome-derived miRNAs predict HBeAg seroconversion in chronic hepatitis B patients treated with peginterferon</t>
  </si>
  <si>
    <t>Hu Q, Wang Q, Zhang Y, Tao S, Zhang X, Liu X, Li X, Jiang X, Huang C, Xu W, Qi X, Chen L, Li Q, Huang Y.</t>
  </si>
  <si>
    <t>J Med Virol. 2021 Aug;93(8):4939-4948. doi: 10.1002/jmv.26916. Epub 2021 Mar 25.</t>
  </si>
  <si>
    <t>Hu Q</t>
  </si>
  <si>
    <t>J Med Virol</t>
  </si>
  <si>
    <t>10.1002/jmv.26916</t>
  </si>
  <si>
    <t>Robust profiling of microRNAs and isomiRs in human plasma exosomes across 46 individuals</t>
  </si>
  <si>
    <t>Karlsen TA, Aae TF, Brinchmann JE.</t>
  </si>
  <si>
    <t>Sci Rep. 2019 Dec 27;9(1):19999. doi: 10.1038/s41598-019-56593-7.</t>
  </si>
  <si>
    <t>Karlsen TA</t>
  </si>
  <si>
    <t>PMC6934752</t>
  </si>
  <si>
    <t>10.1038/s41598-019-56593-7</t>
  </si>
  <si>
    <t>Yang T, He R, Li G, Liang J, Zhao L, Zhao X, Li L, Wang P.</t>
  </si>
  <si>
    <t>Neurosci Lett. 2021 Jul 27;758:136004. doi: 10.1016/j.neulet.2021.136004. Epub 2021 Jun 8.</t>
  </si>
  <si>
    <t>Yang T</t>
  </si>
  <si>
    <t>Neurosci Lett</t>
  </si>
  <si>
    <t>Prostate cancer proteomics: clinically useful protein biomarkers and future perspectives</t>
  </si>
  <si>
    <t>Intasqui P, Bertolla RP, Sadi MV.</t>
  </si>
  <si>
    <t>Expert Rev Proteomics. 2018 Jan;15(1):65-79. doi: 10.1080/14789450.2018.1417846. Epub 2017 Dec 20.</t>
  </si>
  <si>
    <t>Intasqui P</t>
  </si>
  <si>
    <t>10.1080/14789450.2018.1417846</t>
  </si>
  <si>
    <t>Extracellular vesicles in blood, milk and body fluids of the female and male urogenital tract and with special regard to reproduction</t>
  </si>
  <si>
    <t>Foster BP, Balassa T, Benen TD, Dominovic M, Elmadjian GK, Florova V, Fransolet MD, Kestlerova A, Kmiecik G, Kostadinova IA, Kyvelidou C, Meggyes M, Mincheva MN, Moro L, Pastuschek J, Spoldi V, Wandernoth P, Weber M, Toth B, Markert UR.</t>
  </si>
  <si>
    <t>Crit Rev Clin Lab Sci. 2016 Dec;53(6):379-95. doi: 10.1080/10408363.2016.1190682. Epub 2016 Jul 23.</t>
  </si>
  <si>
    <t>Foster BP</t>
  </si>
  <si>
    <t>10.1080/10408363.2016.1190682</t>
  </si>
  <si>
    <t>Drees EEE, Roemer MGM, Groenewegen NJ, Perez-Boza J, van Eijndhoven MAJ, Prins LI, Verkuijlen SAWM, Tran XM, Driessen J, Zwezerijnen GJC, Stathi P, Mol K, Karregat JJJP, Kalantidou A, Vallés-Martí A, Molenaar TJ, Aparicio-Puerta E, van Dijk E, Ylstra B, Groothuis-Oudshoorn CGM, Hackenberg M, de Jong D, Zijlstra JM, Pegtel DM.</t>
  </si>
  <si>
    <t>J Extracell Vesicles. 2021 Jul;10(9):e12121. doi: 10.1002/jev2.12121. Epub 2021 Jul 15.</t>
  </si>
  <si>
    <t>Drees EEE</t>
  </si>
  <si>
    <t>PMC8282992</t>
  </si>
  <si>
    <t>Purification of Functional Platelet Mitochondria Using a Discontinuous Percoll Gradient</t>
  </si>
  <si>
    <t>Léger JL, Pichaud N, Boudreau LH.</t>
  </si>
  <si>
    <t>Methods Mol Biol. 2021;2276:57-66. doi: 10.1007/978-1-0716-1266-8_4.</t>
  </si>
  <si>
    <t>Léger JL</t>
  </si>
  <si>
    <t>10.1007/978-1-0716-1266-8_4</t>
  </si>
  <si>
    <t>Chennakrishnaiah S, Meehan B, D'Asti E, Montermini L, Lee TH, Karatzas N, Buchanan M, Tawil N, Choi D, Divangahi M, Basik M, Rak J.</t>
  </si>
  <si>
    <t>J Thromb Haemost. 2018 Sep;16(9):1800-1813. doi: 10.1111/jth.14222. Epub 2018 Aug 16.</t>
  </si>
  <si>
    <t>Chennakrishnaiah S</t>
  </si>
  <si>
    <t>J Thromb Haemost</t>
  </si>
  <si>
    <t>Lu Z, Shi Y, Ma Y, Jia B, Li X, Guan X, Li Z.</t>
  </si>
  <si>
    <t>Anal Chem. 2022 Jul 5;94(26):9466-9471. doi: 10.1021/acs.analchem.2c01872. Epub 2022 Jun 22.</t>
  </si>
  <si>
    <t>Lu Z</t>
  </si>
  <si>
    <t>Proteomics characterization of exosome cargo</t>
  </si>
  <si>
    <t>Schey KL, Luther JM, Rose KL.</t>
  </si>
  <si>
    <t>Methods. 2015 Oct 1;87:75-82. doi: 10.1016/j.ymeth.2015.03.018. Epub 2015 Mar 31.</t>
  </si>
  <si>
    <t>Schey KL</t>
  </si>
  <si>
    <t>Methods</t>
  </si>
  <si>
    <t>PMC4591097</t>
  </si>
  <si>
    <t>NIHMS681458</t>
  </si>
  <si>
    <t>10.1016/j.ymeth.2015.03.018</t>
  </si>
  <si>
    <t>Potential biomarkers of exosomal cargo in endocrine signaling</t>
  </si>
  <si>
    <t>Zduriencikova M, Gronesova P, Cholujova D, Sedlak J.</t>
  </si>
  <si>
    <t>Endocr Regul. 2015 Jul;49(3):141-50. doi: 10.4149/endo_2015_03_141.</t>
  </si>
  <si>
    <t>Zduriencikova M</t>
  </si>
  <si>
    <t>Endocr Regul</t>
  </si>
  <si>
    <t>10.4149/endo_2015_03_141</t>
  </si>
  <si>
    <t>Mangiapane G, Parolini I, Conte K, Malfatti MC, Corsi J, Sanchez M, Pietrantoni A, D'Agostino VG, Tell G.</t>
  </si>
  <si>
    <t>J Biol Chem. 2021 Jan-Jun;296:100569. doi: 10.1016/j.jbc.2021.100569. Epub 2021 Mar 19.</t>
  </si>
  <si>
    <t>Mangiapane G</t>
  </si>
  <si>
    <t>J Biol Chem</t>
  </si>
  <si>
    <t>PMC8080531</t>
  </si>
  <si>
    <t>Quantification of Circulating Cell Free Mitochondrial DNA in Extracellular Vesicles with PicoGreen™ in Liquid Biopsies: Fast Assessment of Disease/Trauma Severity</t>
  </si>
  <si>
    <t>Marcatti M, Saada J, Okereke I, Wade CE, Bossmann SH, Motamedi M, Szczesny B.</t>
  </si>
  <si>
    <t>Cells. 2021 Apr 6;10(4):819. doi: 10.3390/cells10040819.</t>
  </si>
  <si>
    <t>Marcatti M</t>
  </si>
  <si>
    <t>PMC8067453</t>
  </si>
  <si>
    <t>Rhee SJ, Kim H, Lee Y, Lee HJ, Park CHK, Yang J, Kim YK, Kym S, Ahn YM.</t>
  </si>
  <si>
    <t>J Psychiatr Res. 2020 Apr;123:31-38. doi: 10.1016/j.jpsychires.2020.01.004. Epub 2020 Jan 21.</t>
  </si>
  <si>
    <t>J Psychiatr Res</t>
  </si>
  <si>
    <t>Bioactive Plasma Mitochondrial DNA Is Associated With Disease Progression in Scleroderma-Associated Interstitial Lung Disease</t>
  </si>
  <si>
    <t>Ryu C, Walia A, Ortiz V, Perry C, Woo S, Reeves BC, Sun H, Winkler J, Kanyo JE, Wang W, Vukmirovic M, Ristic N, Stratton EA, Meena SR, Minasyan M, Kurbanov D, Liu X, Lam TT, Farina G, Gomez JL, Gulati M, Herzog EL.</t>
  </si>
  <si>
    <t>Arthritis Rheumatol. 2020 Nov;72(11):1905-1915. doi: 10.1002/art.41418. Epub 2020 Oct 8.</t>
  </si>
  <si>
    <t>Ryu C</t>
  </si>
  <si>
    <t>Arthritis Rheumatol</t>
  </si>
  <si>
    <t>PMC8081728</t>
  </si>
  <si>
    <t>NIHMS1692604</t>
  </si>
  <si>
    <t>Cavallari C, Ranghino A, Tapparo M, Cedrino M, Figliolini F, Grange C, Giannachi V, Garneri P, Deregibus MC, Collino F, Rispoli P, Camussi G, Brizzi MF.</t>
  </si>
  <si>
    <t>Sci Rep. 2017 Aug 15;7(1):8180. doi: 10.1038/s41598-017-08250-0.</t>
  </si>
  <si>
    <t>Cavallari C</t>
  </si>
  <si>
    <t>PMC5557987</t>
  </si>
  <si>
    <t>Marki A, Buscher K, Lorenzini C, Meyer M, Saigusa R, Fan Z, Yeh YT, Hartmann N, Dan JM, Kiosses WB, Golden GJ, Ganesan R, Winkels H, Orecchioni M, McArdle S, Mikulski Z, Altman Y, Bui J, Kronenberg M, Chien S, Esko JD, Nizet V, Smalley D, Roth J, Ley K.</t>
  </si>
  <si>
    <t>J Exp Med. 2021 Mar 1;218(3):e20200551. doi: 10.1084/jem.20200551.</t>
  </si>
  <si>
    <t>Marki A</t>
  </si>
  <si>
    <t>PMC7721910</t>
  </si>
  <si>
    <t>Zabegina L, Nazarova I, Nikiforova N, Slyusarenko M, Sidina E, Knyazeva M, Tsyrlina E, Novikov S, Reva S, Malek A.</t>
  </si>
  <si>
    <t>Cells. 2021 Sep 9;10(9):2372. doi: 10.3390/cells10092372.</t>
  </si>
  <si>
    <t>Zabegina L</t>
  </si>
  <si>
    <t>PMC8467918</t>
  </si>
  <si>
    <t>Li P, Yu X, Han W, Kong Y, Bao W, Zhang J, Zhang W, Gu Y.</t>
  </si>
  <si>
    <t>ACS Sens. 2019 May 24;4(5):1433-1441. doi: 10.1021/acssensors.9b00621. Epub 2019 May 6.</t>
  </si>
  <si>
    <t>Li P</t>
  </si>
  <si>
    <t>Wang L, Li Y, Guan X, Zhao J, Shen L, Liu J.</t>
  </si>
  <si>
    <t>Mol Cancer. 2018 Aug 23;17(1):128. doi: 10.1186/s12943-018-0876-z.</t>
  </si>
  <si>
    <t>Wang L</t>
  </si>
  <si>
    <t>PMC6108141</t>
  </si>
  <si>
    <t>Tang Q, Zhang X, Zhang W, Zhao S, Chen Y.</t>
  </si>
  <si>
    <t>Biochim Biophys Acta Biomembr. 2017 May;1859(5):756-766. doi: 10.1016/j.bbamem.2017.01.013. Epub 2017 Jan 12.</t>
  </si>
  <si>
    <t>Tang Q</t>
  </si>
  <si>
    <t>Biochim Biophys Acta Biomembr</t>
  </si>
  <si>
    <t>Yang L, Yin X, An B, Li F.</t>
  </si>
  <si>
    <t>Anal Chem. 2021 Jan 26;93(3):1709-1716. doi: 10.1021/acs.analchem.0c04308. Epub 2020 Dec 28.</t>
  </si>
  <si>
    <t>Yang L</t>
  </si>
  <si>
    <t>Rikkert LG, van der Pol E, van Leeuwen TG, Nieuwland R, Coumans FAW.</t>
  </si>
  <si>
    <t>Cytometry A. 2018 Dec;93(12):1207-1212. doi: 10.1002/cyto.a.23641.</t>
  </si>
  <si>
    <t>Rikkert LG</t>
  </si>
  <si>
    <t>Cytometry A</t>
  </si>
  <si>
    <t>PMC6590195</t>
  </si>
  <si>
    <t>Abe T, Nakashima C, Sato A, Harada Y, Sueoka E, Kimura S, Kawaguchi A, Sueoka-Aragane N.</t>
  </si>
  <si>
    <t>PLoS One. 2020 Jul 7;15(7):e0235611. doi: 10.1371/journal.pone.0235611. eCollection 2020.</t>
  </si>
  <si>
    <t>Abe T</t>
  </si>
  <si>
    <t>PMC7340299</t>
  </si>
  <si>
    <t>10.1371/journal.pone.0235611</t>
  </si>
  <si>
    <t>Ulz P, Heitzer E, Geigl JB, Speicher MR.</t>
  </si>
  <si>
    <t>Int J Cancer. 2017 Sep 1;141(5):887-896. doi: 10.1002/ijc.30759. Epub 2017 May 25.</t>
  </si>
  <si>
    <t>Ulz P</t>
  </si>
  <si>
    <t>Int J Cancer</t>
  </si>
  <si>
    <t>Baysa A, Fedorov A, Kondratov K, Ruusalepp A, Minasian S, Galagudza M, Popov M, Kurapeev D, Yakovlev A, Valen G, Kostareva A, Vaage J, Stensløkken KO.</t>
  </si>
  <si>
    <t>J Cardiovasc Transl Res. 2019 Jun;12(3):184-192. doi: 10.1007/s12265-018-9848-3. Epub 2018 Dec 12.</t>
  </si>
  <si>
    <t>Baysa A</t>
  </si>
  <si>
    <t>J Cardiovasc Transl Res</t>
  </si>
  <si>
    <t>Molecular Biomarkers in Cancer</t>
  </si>
  <si>
    <t>Sarhadi VK, Armengol G.</t>
  </si>
  <si>
    <t>Biomolecules. 2022 Jul 23;12(8):1021. doi: 10.3390/biom12081021.</t>
  </si>
  <si>
    <t>Sarhadi VK</t>
  </si>
  <si>
    <t>Biomolecules</t>
  </si>
  <si>
    <t>PMC9331210</t>
  </si>
  <si>
    <t>10.3390/biom12081021</t>
  </si>
  <si>
    <t>Gershon M, Gershon A.</t>
  </si>
  <si>
    <t>J Infect Dis. 2018 Sep 22;218(suppl_2):S113-S119. doi: 10.1093/infdis/jiy407.</t>
  </si>
  <si>
    <t>Gershon M</t>
  </si>
  <si>
    <t>J Infect Dis</t>
  </si>
  <si>
    <t>PMC6151087</t>
  </si>
  <si>
    <t>Li B, Pan W, Liu C, Guo J, Shen J, Feng J, Luo T, Situ B, Zhang Y, An T, Xu C, Zheng W, Zheng L.</t>
  </si>
  <si>
    <t>ACS Sens. 2020 Jul 24;5(7):2052-2060. doi: 10.1021/acssensors.0c00513. Epub 2020 Jul 14.</t>
  </si>
  <si>
    <t>Li B</t>
  </si>
  <si>
    <t>Flow cytometric analysis of circulating microparticles in plasma</t>
  </si>
  <si>
    <t>Orozco AF, Lewis DE.</t>
  </si>
  <si>
    <t>Cytometry A. 2010 Jun;77(6):502-14. doi: 10.1002/cyto.a.20886.</t>
  </si>
  <si>
    <t>Orozco AF</t>
  </si>
  <si>
    <t>PMC2919894</t>
  </si>
  <si>
    <t>NIHMS215173</t>
  </si>
  <si>
    <t>10.1002/cyto.a.20886</t>
  </si>
  <si>
    <t>Cardiomyocyte microvesicles contain DNA/RNA and convey biological messages to target cells</t>
  </si>
  <si>
    <t>Waldenström A, Gennebäck N, Hellman U, Ronquist G.</t>
  </si>
  <si>
    <t>PLoS One. 2012;7(4):e34653. doi: 10.1371/journal.pone.0034653. Epub 2012 Apr 10.</t>
  </si>
  <si>
    <t>Waldenström A</t>
  </si>
  <si>
    <t>PMC3323564</t>
  </si>
  <si>
    <t>Nevalainen T, Autio A, Puhka M, Jylhä M, Hurme M.</t>
  </si>
  <si>
    <t>Exp Gerontol. 2021 Jan;143:111119. doi: 10.1016/j.exger.2020.111119. Epub 2020 Oct 18.</t>
  </si>
  <si>
    <t>Nevalainen T</t>
  </si>
  <si>
    <t>Exp Gerontol</t>
  </si>
  <si>
    <t>Hough KP, Trevor JL, Strenkowski JG, Wang Y, Chacko BK, Tousif S, Chanda D, Steele C, Antony VB, Dokland T, Ouyang X, Zhang J, Duncan SR, Thannickal VJ, Darley-Usmar VM, Deshane JS.</t>
  </si>
  <si>
    <t>Redox Biol. 2018 Sep;18:54-64. doi: 10.1016/j.redox.2018.06.009. Epub 2018 Jun 25.</t>
  </si>
  <si>
    <t>Hough KP</t>
  </si>
  <si>
    <t>Redox Biol</t>
  </si>
  <si>
    <t>PMC6031096</t>
  </si>
  <si>
    <t>Recruitment of RNA molecules by connexin RNA-binding motifs: Implication in RNA and DNA transport through microvesicles and exosomes</t>
  </si>
  <si>
    <t>Varela-Eirin M, Varela-Vazquez A, Rodríguez-Candela Mateos M, Vila-Sanjurjo A, Fonseca E, Mascareñas JL, Eugenio Vázquez M, Mayan MD.</t>
  </si>
  <si>
    <t>Biochim Biophys Acta Mol Cell Res. 2017 Apr;1864(4):728-736. doi: 10.1016/j.bbamcr.2017.02.001. Epub 2017 Feb 4.</t>
  </si>
  <si>
    <t>Varela-Eirin M</t>
  </si>
  <si>
    <t>Biochim Biophys Acta Mol Cell Res</t>
  </si>
  <si>
    <t>10.1016/j.bbamcr.2017.02.001</t>
  </si>
  <si>
    <t>Microvesicles as mediators of intercellular communication in cancer--the emerging science of cellular 'debris'</t>
  </si>
  <si>
    <t>Lee TH, D'Asti E, Magnus N, Al-Nedawi K, Meehan B, Rak J.</t>
  </si>
  <si>
    <t>Semin Immunopathol. 2011 Sep;33(5):455-67. doi: 10.1007/s00281-011-0250-3. Epub 2011 Feb 12.</t>
  </si>
  <si>
    <t>Lee TH</t>
  </si>
  <si>
    <t>Semin Immunopathol</t>
  </si>
  <si>
    <t>10.1007/s00281-011-0250-3</t>
  </si>
  <si>
    <t>Isolation and quantification of microRNAs from urinary exosomes/microvesicles for biomarker discovery</t>
  </si>
  <si>
    <t>Lv LL, Cao Y, Liu D, Xu M, Liu H, Tang RN, Ma KL, Liu BC.</t>
  </si>
  <si>
    <t>Int J Biol Sci. 2013 Oct 12;9(10):1021-31. doi: 10.7150/ijbs.6100. eCollection 2013.</t>
  </si>
  <si>
    <t>Lv LL</t>
  </si>
  <si>
    <t>PMC3831115</t>
  </si>
  <si>
    <t>10.7150/ijbs.6100</t>
  </si>
  <si>
    <t>Huang YJ, Cao J, Lee CY, Wu YM.</t>
  </si>
  <si>
    <t>Stem Cell Res Ther. 2021 Nov 12;12(1):568. doi: 10.1186/s13287-021-02641-x.</t>
  </si>
  <si>
    <t>Huang YJ</t>
  </si>
  <si>
    <t>Stem Cell Res Ther</t>
  </si>
  <si>
    <t>PMC8588641</t>
  </si>
  <si>
    <t>Puhka M, Takatalo M, Nordberg ME, Valkonen S, Nandania J, Aatonen M, Yliperttula M, Laitinen S, Velagapudi V, Mirtti T, Kallioniemi O, Rannikko A, Siljander PR, Af Hällström TM.</t>
  </si>
  <si>
    <t>Theranostics. 2017 Aug 23;7(16):3824-3841. doi: 10.7150/thno.19890. eCollection 2017.</t>
  </si>
  <si>
    <t>Puhka M</t>
  </si>
  <si>
    <t>PMC5667407</t>
  </si>
  <si>
    <t>Kwon S, Oh J, Lee MS, Um E, Jeong J, Kang JH.</t>
  </si>
  <si>
    <t>Small. 2021 Jun;17(23):e2100797. doi: 10.1002/smll.202100797. Epub 2021 May 12.</t>
  </si>
  <si>
    <t>Kwon S</t>
  </si>
  <si>
    <t>Small</t>
  </si>
  <si>
    <t>Acoustofluidic Salivary Exosome Isolation: A Liquid Biopsy Compatible Approach for Human Papillomavirus-Associated Oropharyngeal Cancer Detection</t>
  </si>
  <si>
    <t>Wang Z, Li F, Rufo J, Chen C, Yang S, Li L, Zhang J, Cheng J, Kim Y, Wu M, Abemayor E, Tu M, Chia D, Spruce R, Batis N, Mehanna H, Wong DTW, Huang TJ.</t>
  </si>
  <si>
    <t>J Mol Diagn. 2020 Jan;22(1):50-59. doi: 10.1016/j.jmoldx.2019.08.004.</t>
  </si>
  <si>
    <t>Wang Z</t>
  </si>
  <si>
    <t>J Mol Diagn</t>
  </si>
  <si>
    <t>PMC6943372</t>
  </si>
  <si>
    <t>Extracellular vesicles derived from mesenchymal stromal cells: a therapeutic option in respiratory diseases?</t>
  </si>
  <si>
    <t>Abreu SC, Weiss DJ, Rocco PR.</t>
  </si>
  <si>
    <t>Stem Cell Res Ther. 2016 Apr 14;7(1):53. doi: 10.1186/s13287-016-0317-0.</t>
  </si>
  <si>
    <t>Abreu SC</t>
  </si>
  <si>
    <t>PMC4831172</t>
  </si>
  <si>
    <t>10.1186/s13287-016-0317-0</t>
  </si>
  <si>
    <t>Plasma cell-free circRNAs panel act as fingerprint predicts the occurrence of laryngeal squamous cell carcinoma</t>
  </si>
  <si>
    <t>Han J, Lin Q, Dong C.</t>
  </si>
  <si>
    <t>Aging (Albany NY). 2021 Jul 1;13(13):17328-17336. doi: 10.18632/aging.203215. Epub 2021 Jul 1.</t>
  </si>
  <si>
    <t>Han J</t>
  </si>
  <si>
    <t>Aging (Albany NY)</t>
  </si>
  <si>
    <t>PMC8312444</t>
  </si>
  <si>
    <t>10.18632/aging.203215</t>
  </si>
  <si>
    <t>Global methylation patterns in primary plasma cell leukemia</t>
  </si>
  <si>
    <t>Todoerti K, Calice G, Trino S, Simeon V, Lionetti M, Manzoni M, Fabris S, Barbieri M, Pompa A, Baldini L, Bollati V, Zoppoli P, Neri A, Musto P.</t>
  </si>
  <si>
    <t>Leuk Res. 2018 Oct;73:95-102. doi: 10.1016/j.leukres.2018.09.007. Epub 2018 Sep 18.</t>
  </si>
  <si>
    <t>Todoerti K</t>
  </si>
  <si>
    <t>Leuk Res</t>
  </si>
  <si>
    <t>10.1016/j.leukres.2018.09.007</t>
  </si>
  <si>
    <t>Ultrasensitive Exosomal MicroRNA Detection with a Supercharged DNA Framework Nanolabel</t>
  </si>
  <si>
    <t>Liu N, Lu H, Liu L, Ni W, Yao Q, Zhang GJ, Yang F.</t>
  </si>
  <si>
    <t>Anal Chem. 2021 Apr 13;93(14):5917-5923. doi: 10.1021/acs.analchem.1c00295. Epub 2021 Apr 2.</t>
  </si>
  <si>
    <t>Liu N</t>
  </si>
  <si>
    <t>10.1021/acs.analchem.1c00295</t>
  </si>
  <si>
    <t>Neural cell-derived plasma exosome protein abnormalities implicate mitochondrial impairment in first episodes of psychosis</t>
  </si>
  <si>
    <t>Goetzl EJ, Srihari VH, Guloksuz S, Ferrara M, Tek C, Heninger GR.</t>
  </si>
  <si>
    <t>FASEB J. 2021 Feb;35(2):e21339. doi: 10.1096/fj.202002519R.</t>
  </si>
  <si>
    <t>Goetzl EJ</t>
  </si>
  <si>
    <t>FASEB J</t>
  </si>
  <si>
    <t>10.1096/fj.202002519R</t>
  </si>
  <si>
    <t>Tumor-Derived Extracellular Vesicles as a Novel Source of Protein Biomarkers for Cancer Diagnosis and Monitoring</t>
  </si>
  <si>
    <t>Ruhen O, Meehan K.</t>
  </si>
  <si>
    <t>Proteomics. 2019 Jan;19(1-2):e1800155. doi: 10.1002/pmic.201800155. Epub 2019 Jan 10.</t>
  </si>
  <si>
    <t>Ruhen O</t>
  </si>
  <si>
    <t>10.1002/pmic.201800155</t>
  </si>
  <si>
    <t>de Wit S, Rossi E, Weber S, Tamminga M, Manicone M, Swennenhuis JF, Groothuis-Oudshoorn CGM, Vidotto R, Facchinetti A, Zeune LL, Schuuring E, Zamarchi R, Hiltermann TJN, Speicher MR, Heitzer E, Terstappen LWMM, Groen HJM.</t>
  </si>
  <si>
    <t>Int J Cancer. 2019 Jun 15;144(12):3127-3137. doi: 10.1002/ijc.32056. Epub 2019 Jan 28.</t>
  </si>
  <si>
    <t>de Wit S</t>
  </si>
  <si>
    <t>Sinha S, Mannerström B, Seppänen-Kaijansinkko R, Kaur S.</t>
  </si>
  <si>
    <t>J Vis Exp. 2020 Feb 1;(156). doi: 10.3791/60705.</t>
  </si>
  <si>
    <t>Sinha S</t>
  </si>
  <si>
    <t>J Vis Exp</t>
  </si>
  <si>
    <t>Ramshani Z, Zhang C, Richards K, Chen L, Xu G, Stiles BL, Hill R, Senapati S, Go DB, Chang HC.</t>
  </si>
  <si>
    <t>Commun Biol. 2019 May 20;2:189. doi: 10.1038/s42003-019-0435-1. eCollection 2019.</t>
  </si>
  <si>
    <t>Ramshani Z</t>
  </si>
  <si>
    <t>Commun Biol</t>
  </si>
  <si>
    <t>PMC6527557</t>
  </si>
  <si>
    <t>Charoenviriyakul C, Takahashi Y, Morishita M, Nishikawa M, Takakura Y.</t>
  </si>
  <si>
    <t>Mol Pharm. 2018 Mar 5;15(3):1073-1080. doi: 10.1021/acs.molpharmaceut.7b00950. Epub 2018 Feb 6.</t>
  </si>
  <si>
    <t>Charoenviriyakul C</t>
  </si>
  <si>
    <t>Mol Pharm</t>
  </si>
  <si>
    <t>Extracellular vesicles from human urine-derived stem cells inhibit glucocorticoid-induced osteonecrosis of the femoral head by transporting and releasing pro-angiogenic DMBT1 and anti-apoptotic TIMP1</t>
  </si>
  <si>
    <t>Chen CY, Du W, Rao SS, Tan YJ, Hu XK, Luo MJ, Ou QF, Wu PF, Qing LM, Cao ZM, Yin H, Yue T, Zhan CH, Huang J, Zhang Y, Liu YW, Wang ZX, Liu ZZ, Cao J, Liu JH, Hong CG, He ZH, Yang JX, Tang SY, Tang JY, Xie H.</t>
  </si>
  <si>
    <t>Acta Biomater. 2020 Jul 15;111:208-220. doi: 10.1016/j.actbio.2020.05.020. Epub 2020 May 22.</t>
  </si>
  <si>
    <t>Acta Biomater</t>
  </si>
  <si>
    <t>10.1016/j.actbio.2020.05.020</t>
  </si>
  <si>
    <t>Neo SH, Chung KY, Quek JM, Too HP.</t>
  </si>
  <si>
    <t>Sci Rep. 2017 Nov 30;7(1):16686. doi: 10.1038/s41598-017-16960-8.</t>
  </si>
  <si>
    <t>Neo SH</t>
  </si>
  <si>
    <t>PMC5709463</t>
  </si>
  <si>
    <t>Circulating MicroRNA Biomarkers in Melanoma: Tools and Challenges in Personalised Medicine</t>
  </si>
  <si>
    <t>Mumford SL, Towler BP, Pashler AL, Gilleard O, Martin Y, Newbury SF.</t>
  </si>
  <si>
    <t>Biomolecules. 2018 Apr 26;8(2):21. doi: 10.3390/biom8020021.</t>
  </si>
  <si>
    <t>Mumford SL</t>
  </si>
  <si>
    <t>PMC6022922</t>
  </si>
  <si>
    <t>10.3390/biom8020021</t>
  </si>
  <si>
    <t>Vardaki I, Corn P, Gentile E, Song JH, Madan N, Hoang A, Parikh N, Guerra L, Lee YC, Lin SC, Yu G, Santos E, Melancon MP, Troncoso P, Navone N, Gallick GE, Efstathiou E, Subudhi SK, Lin SH, Logothetis CJ, Panaretakis T.</t>
  </si>
  <si>
    <t>Clin Cancer Res. 2021 Jun 1;27(11):3253-3264. doi: 10.1158/1078-0432.CCR-20-4790. Epub 2021 Mar 22.</t>
  </si>
  <si>
    <t>Vardaki I</t>
  </si>
  <si>
    <t>Clin Cancer Res</t>
  </si>
  <si>
    <t>PMC8172463</t>
  </si>
  <si>
    <t>NIHMS1688140</t>
  </si>
  <si>
    <t>Digestion of Chromatin in Apoptotic Cell Microparticles Prevents Autoimmunity</t>
  </si>
  <si>
    <t>Sisirak V, Sally B, D'Agati V, Martinez-Ortiz W, Özçakar ZB, David J, Rashidfarrokhi A, Yeste A, Panea C, Chida AS, Bogunovic M, Ivanov II, Quintana FJ, Sanz I, Elkon KB, Tekin M, Yalçınkaya F, Cardozo TJ, Clancy RM, Buyon JP, Reizis B.</t>
  </si>
  <si>
    <t>Cell. 2016 Jun 30;166(1):88-101. doi: 10.1016/j.cell.2016.05.034. Epub 2016 Jun 9.</t>
  </si>
  <si>
    <t>Sisirak V</t>
  </si>
  <si>
    <t>PMC5030815</t>
  </si>
  <si>
    <t>NIHMS785615</t>
  </si>
  <si>
    <t>10.1016/j.cell.2016.05.034</t>
  </si>
  <si>
    <t>Circulating small extracellular vesicles increase after an acute bout of moderate-intensity exercise in pregnant compared to non-pregnant women</t>
  </si>
  <si>
    <t>Mohammad S, Hutchinson KA, da Silva DF, Bhattacharjee J, McInnis K, Burger D, Adamo KB.</t>
  </si>
  <si>
    <t>Sci Rep. 2021 Jun 16;11(1):12615. doi: 10.1038/s41598-021-92180-5.</t>
  </si>
  <si>
    <t>Mohammad S</t>
  </si>
  <si>
    <t>PMC8209031</t>
  </si>
  <si>
    <t>10.1038/s41598-021-92180-5</t>
  </si>
  <si>
    <t>Carolis S, Pellegrini A, Santini D, Ceccarelli C, De Leo A, Alessandrini F, Arienti C, Pignatta S, Tesei A, Mantovani V, Zamagni C, Taffurelli M, Sansone P, Bonafé M, Cricca M.</t>
  </si>
  <si>
    <t>Future Microbiol. 2018 Feb;13:187-194. doi: 10.2217/fmb-2017-0145. Epub 2017 Oct 4.</t>
  </si>
  <si>
    <t>Carolis S</t>
  </si>
  <si>
    <t>Future Microbiol</t>
  </si>
  <si>
    <t>Chronic-plus-binge alcohol intake induces production of proinflammatory mtDNA-enriched extracellular vesicles and steatohepatitis via ASK1/p38MAPKα-dependent mechanisms</t>
  </si>
  <si>
    <t>Ma J, Cao H, Rodrigues RM, Xu M, Ren T, He Y, Hwang S, Feng D, Ren R, Yang P, Liangpunsakul S, Sun J, Gao B.</t>
  </si>
  <si>
    <t>JCI Insight. 2020 Jul 23;5(14):e136496. doi: 10.1172/jci.insight.136496.</t>
  </si>
  <si>
    <t>Ma J</t>
  </si>
  <si>
    <t>JCI Insight</t>
  </si>
  <si>
    <t>PMC7453887</t>
  </si>
  <si>
    <t>Kanno S, Hirano S, Sakamoto T, Furuyama A, Takase H, Kato H, Fukuta M, Aoki Y.</t>
  </si>
  <si>
    <t>Sci Rep. 2020 Dec 11;10(1):21795. doi: 10.1038/s41598-020-78464-2.</t>
  </si>
  <si>
    <t>Kanno S</t>
  </si>
  <si>
    <t>PMC7733512</t>
  </si>
  <si>
    <t>Higuchi ML, Kawakami JT, Ikegami RN, Reis MM, Pereira JJ, Ianni BM, Buck P, Oliveira LMDS, Santos MHH, Hajjar LA, Bocchi EA.</t>
  </si>
  <si>
    <t>Front Cell Infect Microbiol. 2018 Nov 21;8:412. doi: 10.3389/fcimb.2018.00412. eCollection 2018.</t>
  </si>
  <si>
    <t>Higuchi ML</t>
  </si>
  <si>
    <t>Front Cell Infect Microbiol</t>
  </si>
  <si>
    <t>PMC6259288</t>
  </si>
  <si>
    <t>Lee DH, Yoon H, Park S, Kim JS, Ahn YH, Kwon K, Lee D, Kim KH.</t>
  </si>
  <si>
    <t>Sci Rep. 2018 Oct 2;8(1):14707. doi: 10.1038/s41598-018-32900-6.</t>
  </si>
  <si>
    <t>Lee DH</t>
  </si>
  <si>
    <t>PMC6168539</t>
  </si>
  <si>
    <t>[Characteristics of exosomes andmicroparticles discovered in human tears]</t>
  </si>
  <si>
    <t>Grigor'eva AE, Tamkovich SN, Eremina AV, Tupikin AE, Kabilov MR, Chernykh VV, Vlassov VV, Laktionov PP, Ryabchikova EI.</t>
  </si>
  <si>
    <t>Biomed Khim. 2016 Jan-Feb;62(1):99-106. doi: 10.18097/PBMC20166201099.</t>
  </si>
  <si>
    <t>Grigor'eva AE</t>
  </si>
  <si>
    <t>Biomed Khim</t>
  </si>
  <si>
    <t>10.18097/PBMC20166201099</t>
  </si>
  <si>
    <t>New Frontiers in Diagnosis and Therapy of Circulating Tumor Markers in Cerebrospinal Fluid In Vitro and In Vivo</t>
  </si>
  <si>
    <t>Sindeeva OA, Verkhovskii RA, Sarimollaoglu M, Afanaseva GA, Fedonnikov AS, Osintsev EY, Kurochkina EN, Gorin DA, Deyev SM, Zharov VP, Galanzha EI.</t>
  </si>
  <si>
    <t>Cells. 2019 Oct 2;8(10):1195. doi: 10.3390/cells8101195.</t>
  </si>
  <si>
    <t>Sindeeva OA</t>
  </si>
  <si>
    <t>PMC6830088</t>
  </si>
  <si>
    <t>10.3390/cells8101195</t>
  </si>
  <si>
    <t>Tan SK, Pastori C, Penas C, Komotar RJ, Ivan ME, Wahlestedt C, Ayad NG.</t>
  </si>
  <si>
    <t>Mol Cancer. 2018 Mar 20;17(1):74. doi: 10.1186/s12943-018-0822-0.</t>
  </si>
  <si>
    <t>Tan SK</t>
  </si>
  <si>
    <t>PMC5861620</t>
  </si>
  <si>
    <t>PARP1-cGAS-NF-κB pathway of proinflammatory macrophage activation by extracellular vesicles released during Trypanosoma cruzi infection and Chagas disease</t>
  </si>
  <si>
    <t>Choudhuri S, Garg NJ.</t>
  </si>
  <si>
    <t>PLoS Pathog. 2020 Apr 21;16(4):e1008474. doi: 10.1371/journal.ppat.1008474. eCollection 2020 Apr.</t>
  </si>
  <si>
    <t>Choudhuri S</t>
  </si>
  <si>
    <t>PLoS Pathog</t>
  </si>
  <si>
    <t>PMC7173744</t>
  </si>
  <si>
    <t>Prothrombotic abnormalities in patients with multiple myeloma and monoclonal gammopathy of undetermined significance</t>
  </si>
  <si>
    <t>Nielsen T, Kristensen SR, Gregersen H, Teodorescu EM, Pedersen S.</t>
  </si>
  <si>
    <t>Thromb Res. 2021 Jun;202:108-118. doi: 10.1016/j.thromres.2021.03.015. Epub 2021 Mar 21.</t>
  </si>
  <si>
    <t>Nielsen T</t>
  </si>
  <si>
    <t>Thromb Res</t>
  </si>
  <si>
    <t>10.1016/j.thromres.2021.03.015</t>
  </si>
  <si>
    <t>Wan Y, Maurer M, He HZ, Xia YQ, Hao SJ, Zhang WL, Yee NS, Zheng SY.</t>
  </si>
  <si>
    <t>Lab Chip. 2019 Jul 9;19(14):2346-2355. doi: 10.1039/c8lc01359d.</t>
  </si>
  <si>
    <t>Wan Y</t>
  </si>
  <si>
    <t>PMC6669184</t>
  </si>
  <si>
    <t>NIHMS1038106</t>
  </si>
  <si>
    <t>Podgornaya OI, Vasilyeva IN, Bespalov VG.</t>
  </si>
  <si>
    <t>Adv Exp Med Biol. 2016;924:85-89. doi: 10.1007/978-3-319-42044-8_16.</t>
  </si>
  <si>
    <t>Podgornaya OI</t>
  </si>
  <si>
    <t>Adv Exp Med Biol</t>
  </si>
  <si>
    <t>Liquid Biopsies Using Plasma Exosomal Nucleic Acids and Plasma Cell-Free DNA Compared with Clinical Outcomes of Patients with Advanced Cancers</t>
  </si>
  <si>
    <t>Möhrmann L, Huang HJ, Hong DS, Tsimberidou AM, Fu S, Piha-Paul SA, Subbiah V, Karp DD, Naing A, Krug A, Enderle D, Priewasser T, Noerholm M, Eitan E, Coticchia C, Stoll G, Jordan LM, Eng C, Kopetz ES, Skog J, Meric-Bernstam F, Janku F.</t>
  </si>
  <si>
    <t>Clin Cancer Res. 2018 Jan 1;24(1):181-188. doi: 10.1158/1078-0432.CCR-17-2007. Epub 2017 Oct 19.</t>
  </si>
  <si>
    <t>Möhrmann L</t>
  </si>
  <si>
    <t>PMC5754253</t>
  </si>
  <si>
    <t>NIHMS913973</t>
  </si>
  <si>
    <t>10.1158/1078-0432.CCR-17-2007</t>
  </si>
  <si>
    <t>Wen ZT, Jorgensen AN, Huang X, Ellepola K, Chapman L, Wu H, Jeannine Brady L.</t>
  </si>
  <si>
    <t>Mol Oral Microbiol. 2021 Feb;36(1):12-24. doi: 10.1111/omi.12318. Epub 2020 Dec 3.</t>
  </si>
  <si>
    <t>Wen ZT</t>
  </si>
  <si>
    <t>Mol Oral Microbiol</t>
  </si>
  <si>
    <t>PMC7940556</t>
  </si>
  <si>
    <t>NIHMS1637368</t>
  </si>
  <si>
    <t>Paproski RJ, Jovel J, Wong GK, Lewis JD, Zemp RJ.</t>
  </si>
  <si>
    <t>Cancer Res. 2017 Jan 1;77(1):3-13. doi: 10.1158/0008-5472.CAN-15-3231. Epub 2016 Oct 28.</t>
  </si>
  <si>
    <t>Paproski RJ</t>
  </si>
  <si>
    <t>Cancer Res</t>
  </si>
  <si>
    <t>Yang S, Che SP, Kurywchak P, Tavormina JL, Gansmo LB, Correa de Sampaio P, Tachezy M, Bockhorn M, Gebauer F, Haltom AR, Melo SA, LeBleu VS, Kalluri R.</t>
  </si>
  <si>
    <t>Cancer Biol Ther. 2017 Mar 4;18(3):158-165. doi: 10.1080/15384047.2017.1281499. Epub 2017 Jan 25.</t>
  </si>
  <si>
    <t>Yang S</t>
  </si>
  <si>
    <t>Cancer Biol Ther</t>
  </si>
  <si>
    <t>PMC5389423</t>
  </si>
  <si>
    <t>Isolation and Characterization of Salivary Exosomes for Cancer Biomarker Discovery</t>
  </si>
  <si>
    <t>Trevisan França de Lima L, Müller Bark J, Rasheduzzaman M, Weeramange CE, Punyadeera C.</t>
  </si>
  <si>
    <t>Methods Mol Biol. 2022;2504:101-112. doi: 10.1007/978-1-0716-2341-1_8.</t>
  </si>
  <si>
    <t>Trevisan França de Lima L</t>
  </si>
  <si>
    <t>10.1007/978-1-0716-2341-1_8</t>
  </si>
  <si>
    <t>The expansion of activated naive DNA autoreactive B cells and its association with disease activity in systemic lupus erythematosus patients</t>
  </si>
  <si>
    <t>Wangriatisak K, Thanadetsuntorn C, Krittayapoositpot T, Leepiyasakulchai C, Suangtamai T, Ngamjanyaporn P, Khowawisetsut L, Khaenam P, Setthaudom C, Pisitkun P, Chootong P.</t>
  </si>
  <si>
    <t>Arthritis Res Ther. 2021 Jul 6;23(1):179. doi: 10.1186/s13075-021-02557-0.</t>
  </si>
  <si>
    <t>Wangriatisak K</t>
  </si>
  <si>
    <t>Arthritis Res Ther</t>
  </si>
  <si>
    <t>PMC8259008</t>
  </si>
  <si>
    <t>10.1186/s13075-021-02557-0</t>
  </si>
  <si>
    <t>Szczesny B, Marcatti M, Ahmad A, Montalbano M, Brunyánszki A, Bibli SI, Papapetropoulos A, Szabo C.</t>
  </si>
  <si>
    <t>Sci Rep. 2018 Jan 17;8(1):914. doi: 10.1038/s41598-018-19216-1.</t>
  </si>
  <si>
    <t>Szczesny B</t>
  </si>
  <si>
    <t>PMC5772643</t>
  </si>
  <si>
    <t>The crosstalk of telomere dysfunction and inflammation through cell-free TERRA containing exosomes</t>
  </si>
  <si>
    <t>Wang Z, Lieberman PM.</t>
  </si>
  <si>
    <t>RNA Biol. 2016 Aug 2;13(8):690-5. doi: 10.1080/15476286.2016.1203503. Epub 2016 Jun 28.</t>
  </si>
  <si>
    <t>RNA Biol</t>
  </si>
  <si>
    <t>PMC4993293</t>
  </si>
  <si>
    <t>10.1080/15476286.2016.1203503</t>
  </si>
  <si>
    <t>Erkan EP, Saydam O.</t>
  </si>
  <si>
    <t>Curr Cancer Drug Targets. 2016;16(1):34-42. doi: 10.2174/1568009615666150923115439.</t>
  </si>
  <si>
    <t>Erkan EP</t>
  </si>
  <si>
    <t>Curr Cancer Drug Targets</t>
  </si>
  <si>
    <t>Elucidation of leak-resistance DNA hybridization chain reaction with universality and extensibility</t>
  </si>
  <si>
    <t>Li S, Li P, Ge M, Wang H, Cheng Y, Li G, Huang Q, He H, Cao C, Lin D, Yang L.</t>
  </si>
  <si>
    <t>Nucleic Acids Res. 2020 Mar 18;48(5):2220-2231. doi: 10.1093/nar/gkaa016.</t>
  </si>
  <si>
    <t>Li S</t>
  </si>
  <si>
    <t>Nucleic Acids Res</t>
  </si>
  <si>
    <t>PMC7049695</t>
  </si>
  <si>
    <t>10.1093/nar/gkaa016</t>
  </si>
  <si>
    <t>Evidence of the Mechanism by Which Polyomaviruses Exploit the Extracellular Vesicle Delivery System during Infection</t>
  </si>
  <si>
    <t>Giannecchini S.</t>
  </si>
  <si>
    <t>Viruses. 2020 May 27;12(6):585. doi: 10.3390/v12060585.</t>
  </si>
  <si>
    <t>Giannecchini S</t>
  </si>
  <si>
    <t>PMC7354590</t>
  </si>
  <si>
    <t>10.3390/v12060585</t>
  </si>
  <si>
    <t>Time to focus on circulating nucleic acids for diagnosis and monitoring of gliomas: A systematic review of their role as biomarkers</t>
  </si>
  <si>
    <t>Díaz Méndez AB, Tremante E, Regazzo G, Brandner S, Rizzo MG.</t>
  </si>
  <si>
    <t>Neuropathol Appl Neurobiol. 2021 Jun;47(4):471-487. doi: 10.1111/nan.12691. Epub 2021 Jan 29.</t>
  </si>
  <si>
    <t>Díaz Méndez AB</t>
  </si>
  <si>
    <t>Neuropathol Appl Neurobiol</t>
  </si>
  <si>
    <t>10.1111/nan.12691</t>
  </si>
  <si>
    <t>Yang Z, LaRiviere MJ, Ko J, Till JE, Christensen T, Yee SS, Black TA, Tien K, Lin A, Shen H, Bhagwat N, Herman D, Adallah A, O'Hara MH, Vollmer CM, Katona BW, Stanger BZ, Issadore D, Carpenter EL.</t>
  </si>
  <si>
    <t>Clin Cancer Res. 2020 Jul 1;26(13):3248-3258. doi: 10.1158/1078-0432.CCR-19-3313. Epub 2020 Apr 16.</t>
  </si>
  <si>
    <t>Yang Z</t>
  </si>
  <si>
    <t>PMC7334066</t>
  </si>
  <si>
    <t>NIHMS1582582</t>
  </si>
  <si>
    <t>Zhang W, Lu S, Pu D, Zhang H, Yang L, Zeng P, Su F, Chen Z, Guo M, Gu Y, Luo Y, Hu H, Lu Y, Chen F, Gao Y.</t>
  </si>
  <si>
    <t>BMC Med Genomics. 2019 Nov 4;12(1):151. doi: 10.1186/s12920-019-0590-8.</t>
  </si>
  <si>
    <t>Zhang W</t>
  </si>
  <si>
    <t>BMC Med Genomics</t>
  </si>
  <si>
    <t>PMC6829814</t>
  </si>
  <si>
    <t>Hisada Y, Mackman N.</t>
  </si>
  <si>
    <t>Hematology Am Soc Hematol Educ Program. 2019 Dec 6;2019(1):182-186. doi: 10.1182/hematology.2019000025.</t>
  </si>
  <si>
    <t>Hisada Y</t>
  </si>
  <si>
    <t>Hematology Am Soc Hematol Educ Program</t>
  </si>
  <si>
    <t>PMC6913477</t>
  </si>
  <si>
    <t>10.1182/hematology.2019000025</t>
  </si>
  <si>
    <t>An miRNA fingerprint using neural-enriched extracellular vesicles from blood plasma: towards a biomarker for amyotrophic lateral sclerosis/motor neuron disease</t>
  </si>
  <si>
    <t>Banack SA, Dunlop RA, Cox PA.</t>
  </si>
  <si>
    <t>Open Biol. 2020 Jun;10(6):200116. doi: 10.1098/rsob.200116. Epub 2020 Jun 24.</t>
  </si>
  <si>
    <t>Banack SA</t>
  </si>
  <si>
    <t>Open Biol</t>
  </si>
  <si>
    <t>PMC7333885</t>
  </si>
  <si>
    <t>10.1098/rsob.200116</t>
  </si>
  <si>
    <t>ccf-mtDNA as a Potential Link Between the Brain and Immune System in Neuro-Immunological Disorders</t>
  </si>
  <si>
    <t>Gambardella S, Limanaqi F, Ferese R, Biagioni F, Campopiano R, Centonze D, Fornai F.</t>
  </si>
  <si>
    <t>Front Immunol. 2019 May 9;10:1064. doi: 10.3389/fimmu.2019.01064. eCollection 2019.</t>
  </si>
  <si>
    <t>Gambardella S</t>
  </si>
  <si>
    <t>PMC6520662</t>
  </si>
  <si>
    <t>10.3389/fimmu.2019.01064</t>
  </si>
  <si>
    <t>Zhang W, Jiang L, Diefenbach RJ, Campbell DH, Walsh BJ, Packer NH, Wang Y.</t>
  </si>
  <si>
    <t>ACS Sens. 2020 Mar 27;5(3):764-771. doi: 10.1021/acssensors.9b02377. Epub 2020 Mar 17.</t>
  </si>
  <si>
    <t>Yang J, McDowell A, Kim EK, Seo H, Yum K, Lee WH, Jee YK, Kim YK.</t>
  </si>
  <si>
    <t>Exp Mol Med. 2019 Aug 1;51(8):1-11. doi: 10.1038/s12276-019-0288-1.</t>
  </si>
  <si>
    <t>Exp Mol Med</t>
  </si>
  <si>
    <t>PMC6802649</t>
  </si>
  <si>
    <t>Schneegans S, Lück L, Besler K, Bluhm L, Stadler JC, Staub J, Greinert R, Volkmer B, Kubista M, Gebhardt C, Sartori A, Irwin D, Serkkola E, Af Hällström T, Lianidou E, Sprenger-Haussels M, Hussong M, Mohr P, Schneider SW, Shaffer J, Pantel K, Wikman H.</t>
  </si>
  <si>
    <t>Mol Oncol. 2020 May;14(5):1001-1015. doi: 10.1002/1878-0261.12669. Epub 2020 Apr 4.</t>
  </si>
  <si>
    <t>Schneegans S</t>
  </si>
  <si>
    <t>Mol Oncol</t>
  </si>
  <si>
    <t>PMC7191195</t>
  </si>
  <si>
    <t>Zhao L, Sun R, He P, Zhang X.</t>
  </si>
  <si>
    <t>Anal Chem. 2019 Nov 19;91(22):14773-14779. doi: 10.1021/acs.analchem.9b04282. Epub 2019 Nov 8.</t>
  </si>
  <si>
    <t>Zhao L</t>
  </si>
  <si>
    <t>de Mendonça M, Rocha KC, de Sousa É, Pereira BMV, Oyama LM, Rodrigues AC.</t>
  </si>
  <si>
    <t>Am J Physiol Endocrinol Metab. 2020 Sep 1;319(3):E579-E591. doi: 10.1152/ajpendo.00172.2020. Epub 2020 Aug 3.</t>
  </si>
  <si>
    <t>de Mendonça M</t>
  </si>
  <si>
    <t>Am J Physiol Endocrinol Metab</t>
  </si>
  <si>
    <t>Meng Y, Pople CB, Suppiah S, Llinas M, Huang Y, Sahgal A, Perry J, Keith J, Davidson B, Hamani C, Amemiya Y, Seth A, Leong H, Heyn CC, Aubert I, Hynynen K, Lipsman N.</t>
  </si>
  <si>
    <t>Neuro Oncol. 2021 Oct 1;23(10):1789-1797. doi: 10.1093/neuonc/noab057.</t>
  </si>
  <si>
    <t>Meng Y</t>
  </si>
  <si>
    <t>Neuro Oncol</t>
  </si>
  <si>
    <t>PMC8485448</t>
  </si>
  <si>
    <t>Sun Y, Jin H, Jiang X, Gui R.</t>
  </si>
  <si>
    <t>Anal Chem. 2020 Feb 4;92(3):2866-2875. doi: 10.1021/acs.analchem.9b05583. Epub 2020 Jan 13.</t>
  </si>
  <si>
    <t>Sun Y</t>
  </si>
  <si>
    <t>The low density lipoprotein receptor</t>
  </si>
  <si>
    <t>Schneider WJ.</t>
  </si>
  <si>
    <t>Biochim Biophys Acta. 1989 May 9;988(2):303-17. doi: 10.1016/0304-4157(89)90023-3.</t>
  </si>
  <si>
    <t>Schneider WJ</t>
  </si>
  <si>
    <t>Biochim Biophys Acta</t>
  </si>
  <si>
    <t>10.1016/0304-4157(89)90023-3</t>
  </si>
  <si>
    <t>PTH/PTHrP Receptor Signaling Restricts Arterial Fibrosis in Diabetic LDLR(-/-) Mice by Inhibiting Myocardin-Related Transcription Factor Relays</t>
  </si>
  <si>
    <t>Behrmann A, Zhong D, Li L, Cheng SL, Mead M, Ramachandran B, Sabaeifard P, Goodarzi M, Lemoff A, Kronenberg HM, Towler DA.</t>
  </si>
  <si>
    <t>Circ Res. 2020 May 8;126(10):1363-1378. doi: 10.1161/CIRCRESAHA.119.316141. Epub 2020 Mar 11.</t>
  </si>
  <si>
    <t>Behrmann A</t>
  </si>
  <si>
    <t>Circ Res</t>
  </si>
  <si>
    <t>PMC7524585</t>
  </si>
  <si>
    <t>NIHMS1576084</t>
  </si>
  <si>
    <t>Massive Release of CD9+ Microvesicles in Human Immunodeficiency Virus Infection, Regardless of Virologic Control</t>
  </si>
  <si>
    <t>Poveda E, Tabernilla A, Fitzgerald W, Salgado-Barreira Á, Grandal M, Pérez A, Mariño A, Álvarez H, Valcarce N, González-García J, Bernardino JI, Gutierrez F, Fujioka H, Crespo M, Ruiz-Mateos E, Margolis L, Lederman MM, Freeman ML.</t>
  </si>
  <si>
    <t>J Infect Dis. 2022 Mar 15;225(6):1040-1049. doi: 10.1093/infdis/jiaa375.</t>
  </si>
  <si>
    <t>Poveda E</t>
  </si>
  <si>
    <t>PMC8922002</t>
  </si>
  <si>
    <t>Serum Extracellular Vesicles Retard H9C2 Cell Senescence by Suppressing miR-34a Expression</t>
  </si>
  <si>
    <t>Liu Y, Liu Z, Xie Y, Zhao C, Xu J.</t>
  </si>
  <si>
    <t>J Cardiovasc Transl Res. 2019 Feb;12(1):45-50. doi: 10.1007/s12265-018-9847-4. Epub 2018 Nov 29.</t>
  </si>
  <si>
    <t>Liu Y</t>
  </si>
  <si>
    <t>10.1007/s12265-018-9847-4</t>
  </si>
  <si>
    <t>Isolation of extracellular vesicles for proteomic profiling</t>
  </si>
  <si>
    <t>Choi DS, Gho YS.</t>
  </si>
  <si>
    <t>Methods Mol Biol. 2015;1295:167-77. doi: 10.1007/978-1-4939-2550-6_14.</t>
  </si>
  <si>
    <t>Choi DS</t>
  </si>
  <si>
    <t>Tarnopolsky MA, Kerkhof J, Stuart A, Bujak A, Nilsson MI, Hettinga B, May L, Rupar CA, Sadikovic B.</t>
  </si>
  <si>
    <t>FASEB J. 2020 Jul;34(7):9297-9306. doi: 10.1096/fj.202000463R. Epub 2020 May 22.</t>
  </si>
  <si>
    <t>Tarnopolsky MA</t>
  </si>
  <si>
    <t>Singh KP, Maremanda KP, Li D, Rahman I.</t>
  </si>
  <si>
    <t>BMC Med Genomics. 2020 Sep 10;13(1):128. doi: 10.1186/s12920-020-00748-3.</t>
  </si>
  <si>
    <t>Singh KP</t>
  </si>
  <si>
    <t>PMC7488025</t>
  </si>
  <si>
    <t>Sina AA, Lin TY, Vaidyanathan R, Wang Z, Dey S, Wang J, Behren A, Wuethrich A, Carrascosa LG, Trau M.</t>
  </si>
  <si>
    <t>Nanoscale Horiz. 2020 Sep 1;5(9):1317-1323. doi: 10.1039/d0nh00258e. Epub 2020 Jun 12.</t>
  </si>
  <si>
    <t>Sina AA</t>
  </si>
  <si>
    <t>Nanoscale Horiz</t>
  </si>
  <si>
    <t>High-affinity peptide ligand LXY30 for targeting α3β1 integrin in non-small cell lung cancer</t>
  </si>
  <si>
    <t>Xiao W, Ma W, Wei S, Li Q, Liu R, Carney RP, Yang K, Lee J, Nyugen A, Yoneda KY, Lam KS, Li T.</t>
  </si>
  <si>
    <t>J Hematol Oncol. 2019 Jun 10;12(1):56. doi: 10.1186/s13045-019-0740-7.</t>
  </si>
  <si>
    <t>Xiao W</t>
  </si>
  <si>
    <t>J Hematol Oncol</t>
  </si>
  <si>
    <t>PMC6558829</t>
  </si>
  <si>
    <t>DNA Hydrogelation-Enhanced Imaging Ellipsometry for Sensing Exosomal microRNAs with a Tunable Detection Range</t>
  </si>
  <si>
    <t>Zou L, Wu Z, Liu X, Zheng Y, Mei W, Wang Q, Yang X, Wang K.</t>
  </si>
  <si>
    <t>Anal Chem. 2020 Sep 1;92(17):11953-11959. doi: 10.1021/acs.analchem.0c02345. Epub 2020 Aug 10.</t>
  </si>
  <si>
    <t>Zou L</t>
  </si>
  <si>
    <t>10.1021/acs.analchem.0c02345</t>
  </si>
  <si>
    <t>Magnetic-Based Microfluidic Device for On-Chip Isolation and Detection of Tumor-Derived Exosomes</t>
  </si>
  <si>
    <t>Xu H, Liao C, Zuo P, Liu Z, Ye BC.</t>
  </si>
  <si>
    <t>Anal Chem. 2018 Nov 20;90(22):13451-13458. doi: 10.1021/acs.analchem.8b03272. Epub 2018 Oct 3.</t>
  </si>
  <si>
    <t>Xu H</t>
  </si>
  <si>
    <t>10.1021/acs.analchem.8b03272</t>
  </si>
  <si>
    <t>Long-term epigenetic alterations in a rat model of Gulf War Illness</t>
  </si>
  <si>
    <t>Pierce LM, Kurata WE, Matsumoto KW, Clark ME, Farmer DM.</t>
  </si>
  <si>
    <t>Neurotoxicology. 2016 Jul;55:20-32. doi: 10.1016/j.neuro.2016.05.007. Epub 2016 May 11.</t>
  </si>
  <si>
    <t>Pierce LM</t>
  </si>
  <si>
    <t>Neurotoxicology</t>
  </si>
  <si>
    <t>10.1016/j.neuro.2016.05.007</t>
  </si>
  <si>
    <t>Exonuclease requirements for mammalian ribosomal RNA biogenesis and surveillance</t>
  </si>
  <si>
    <t>Pirouz M, Munafò M, Ebrahimi AG, Choe J, Gregory RI.</t>
  </si>
  <si>
    <t>Nat Struct Mol Biol. 2019 Jun;26(6):490-500. doi: 10.1038/s41594-019-0234-x. Epub 2019 Jun 3.</t>
  </si>
  <si>
    <t>Pirouz M</t>
  </si>
  <si>
    <t>Nat Struct Mol Biol</t>
  </si>
  <si>
    <t>PMC6554070</t>
  </si>
  <si>
    <t>NIHMS1527939</t>
  </si>
  <si>
    <t>10.1038/s41594-019-0234-x</t>
  </si>
  <si>
    <t>Liao G, Liu X, Yang X, Wang Q, Geng X, Zou L, Liu Y, Li S, Zheng Y, Wang K.</t>
  </si>
  <si>
    <t>Mikrochim Acta. 2020 Mar 30;187(4):251. doi: 10.1007/s00604-020-4183-1.</t>
  </si>
  <si>
    <t>Liao G</t>
  </si>
  <si>
    <t>Mikrochim Acta</t>
  </si>
  <si>
    <t>Al-Mayah A, Bright S, Chapman K, Irons S, Luo P, Carter D, Goodwin E, Kadhim M.</t>
  </si>
  <si>
    <t>Mutat Res. 2015 Feb;772:38-45. doi: 10.1016/j.mrfmmm.2014.12.007. Epub 2014 Dec 30.</t>
  </si>
  <si>
    <t>Al-Mayah A</t>
  </si>
  <si>
    <t>Mutat Res</t>
  </si>
  <si>
    <t>In-depth cell-free DNA sequencing reveals genomic landscape of Hodgkin's lymphoma and facilitates ultrasensitive residual disease detection</t>
  </si>
  <si>
    <t>Sobesky S, Mammadova L, Cirillo M, Drees EEE, Mattlener J, Dörr H, Altmüller J, Shi Z, Bröckelmann PJ, Weiss J, Kreissl S, Sasse S, Ullrich RT, Reinke S, Klapper W, Gerhard-Hartmann E, Rosenwald A, Roemer MGM, Nürnberg P, Hagenbeek A, Zijlstra JM, Pegtel DM, Engert A, Borchmann P, von Tresckow B, Borchmann S.</t>
  </si>
  <si>
    <t>Med (N Y). 2021 Oct 8;2(10):1171-1193.e11. doi: 10.1016/j.medj.2021.09.002.</t>
  </si>
  <si>
    <t>Sobesky S</t>
  </si>
  <si>
    <t>Med (N Y)</t>
  </si>
  <si>
    <t>10.1016/j.medj.2021.09.002</t>
  </si>
  <si>
    <t>Wang Y, Li Q, Shi H, Tang K, Qiao L, Yu G, Ding C, Yu S.</t>
  </si>
  <si>
    <t>Lab Chip. 2020 Dec 15;20(24):4632-4637. doi: 10.1039/d0lc00677g.</t>
  </si>
  <si>
    <t>Wang Y</t>
  </si>
  <si>
    <t>Release of bulk cell free DNA during physical exercise occurs independent of extracellular vesicles</t>
  </si>
  <si>
    <t>Helmig S, Frühbeis C, Krämer-Albers EM, Simon P, Tug S.</t>
  </si>
  <si>
    <t>Eur J Appl Physiol. 2015 Nov;115(11):2271-80. doi: 10.1007/s00421-015-3207-8. Epub 2015 Jul 1.</t>
  </si>
  <si>
    <t>Helmig S</t>
  </si>
  <si>
    <t>Eur J Appl Physiol</t>
  </si>
  <si>
    <t>Fluorescent label-free quantitative detection of nano-sized bioparticles using a pillar array</t>
  </si>
  <si>
    <t>Zeming KK, Salafi T, Shikha S, Zhang Y.</t>
  </si>
  <si>
    <t>Nat Commun. 2018 Mar 28;9(1):1254. doi: 10.1038/s41467-018-03596-z.</t>
  </si>
  <si>
    <t>Zeming KK</t>
  </si>
  <si>
    <t>PMC5871788</t>
  </si>
  <si>
    <t>10.1038/s41467-018-03596-z</t>
  </si>
  <si>
    <t>Different gDNA content in the subpopulations of prostate cancer extracellular vesicles: apoptotic bodies, microvesicles, and exosomes</t>
  </si>
  <si>
    <t>Lázaro-Ibáñez E, Sanz-Garcia A, Visakorpi T, Escobedo-Lucea C, Siljander P, Ayuso-Sacido A, Yliperttula M.</t>
  </si>
  <si>
    <t>Prostate. 2014 Oct;74(14):1379-90. doi: 10.1002/pros.22853. Epub 2014 Aug 11.</t>
  </si>
  <si>
    <t>Lázaro-Ibáñez E</t>
  </si>
  <si>
    <t>PMC4312964</t>
  </si>
  <si>
    <t>Andrianova IA, Ponomareva AA, Mordakhanova ER, Le Minh G, Daminova AG, Nevzorova TA, Rauova L, Litvinov RI, Weisel JW.</t>
  </si>
  <si>
    <t>J Autoimmun. 2020 Feb;107:102355. doi: 10.1016/j.jaut.2019.102355. Epub 2019 Nov 12.</t>
  </si>
  <si>
    <t>Andrianova IA</t>
  </si>
  <si>
    <t>J Autoimmun</t>
  </si>
  <si>
    <t>Heineck DP, Lewis JM, Heller MJ.</t>
  </si>
  <si>
    <t>Electrophoresis. 2017 Jun;38(11):1475-1482. doi: 10.1002/elps.201600563.</t>
  </si>
  <si>
    <t>Heineck DP</t>
  </si>
  <si>
    <t>Electrophoresis</t>
  </si>
  <si>
    <t>RNA-containing exosomes in human nasal secretions</t>
  </si>
  <si>
    <t>Lässer C, O'Neil SE, Ekerljung L, Ekström K, Sjöstrand M, Lötvall J.</t>
  </si>
  <si>
    <t>Am J Rhinol Allergy. 2011 Mar-Apr;25(2):89-93. doi: 10.2500/ajra.2011.25.3573. Epub 2010 Dec 17.</t>
  </si>
  <si>
    <t>Lässer C</t>
  </si>
  <si>
    <t>Am J Rhinol Allergy</t>
  </si>
  <si>
    <t>10.2500/ajra.2011.25.3573</t>
  </si>
  <si>
    <t>Balaj L, Atai NA, Chen W, Mu D, Tannous BA, Breakefield XO, Skog J, Maguire CA.</t>
  </si>
  <si>
    <t>Sci Rep. 2015 May 19;5:10266. doi: 10.1038/srep10266.</t>
  </si>
  <si>
    <t>Balaj L</t>
  </si>
  <si>
    <t>PMC4437317</t>
  </si>
  <si>
    <t>Current and emerging biomarkers in tumors of the central nervous system: Possible diagnostic, prognostic and therapeutic applications</t>
  </si>
  <si>
    <t>Khan IN, Ullah N, Hussein D, Saini KS.</t>
  </si>
  <si>
    <t>Semin Cancer Biol. 2018 Oct;52(Pt 1):85-102. doi: 10.1016/j.semcancer.2017.07.004. Epub 2017 Jul 31.</t>
  </si>
  <si>
    <t>Khan IN</t>
  </si>
  <si>
    <t>Semin Cancer Biol</t>
  </si>
  <si>
    <t>10.1016/j.semcancer.2017.07.004</t>
  </si>
  <si>
    <t>Carbon Nanotube Field-Effect Transistor Biosensor for Ultrasensitive and Label-Free Detection of Breast Cancer Exosomal miRNA21</t>
  </si>
  <si>
    <t>Li T, Liang Y, Li J, Yu Y, Xiao MM, Ni W, Zhang Z, Zhang GJ.</t>
  </si>
  <si>
    <t>Anal Chem. 2021 Nov 23;93(46):15501-15507. doi: 10.1021/acs.analchem.1c03573. Epub 2021 Nov 8.</t>
  </si>
  <si>
    <t>Li T</t>
  </si>
  <si>
    <t>10.1021/acs.analchem.1c03573</t>
  </si>
  <si>
    <t>Yoo JY, Rho M, You YA, Kwon EJ, Kim MH, Kym S, Jee YK, Kim YK, Kim YJ.</t>
  </si>
  <si>
    <t>Exp Mol Med. 2016 Feb 5;48(2):e208. doi: 10.1038/emm.2015.110.</t>
  </si>
  <si>
    <t>Yoo JY</t>
  </si>
  <si>
    <t>PMC4892867</t>
  </si>
  <si>
    <t>Ebrahimkhani S, Vafaee F, Young PE, Hur SSJ, Hawke S, Devenney E, Beadnall H, Barnett MH, Suter CM, Buckland ME.</t>
  </si>
  <si>
    <t>Sci Rep. 2017 Oct 30;7(1):14293. doi: 10.1038/s41598-017-14301-3.</t>
  </si>
  <si>
    <t>Ebrahimkhani S</t>
  </si>
  <si>
    <t>PMC5662562</t>
  </si>
  <si>
    <t>Plasma-derived exosomes contribute to inflammation via the TLR9-NF-κB pathway in chronic heart failure patients</t>
  </si>
  <si>
    <t>Ye W, Tang X, Yang Z, Liu C, Zhang X, Jin J, Lyu J.</t>
  </si>
  <si>
    <t>Mol Immunol. 2017 Jul;87:114-121. doi: 10.1016/j.molimm.2017.03.011. Epub 2017 Apr 25.</t>
  </si>
  <si>
    <t>Ye W</t>
  </si>
  <si>
    <t>Mol Immunol</t>
  </si>
  <si>
    <t>Dumbbell Hybridization Chain Reaction Based Electrochemical Biosensor for Ultrasensitive Detection of Exosomal miRNA</t>
  </si>
  <si>
    <t>Miao P, Tang Y.</t>
  </si>
  <si>
    <t>Anal Chem. 2020 Sep 1;92(17):12026-12032. doi: 10.1021/acs.analchem.0c02654. Epub 2020 Aug 11.</t>
  </si>
  <si>
    <t>Miao P</t>
  </si>
  <si>
    <t>10.1021/acs.analchem.0c02654</t>
  </si>
  <si>
    <t>Barnabas GD, Bahar-Shany K, Sapoznik S, Helpman L, Kadan Y, Beiner M, Weitzner O, Arbib N, Korach J, Perri T, Katz G, Blecher A, Brandt B, Friedman E, Stockheim D, Jakobson-Setton A, Eitan R, Armon S, Brand H, Zadok O, Aviel-Ronen S, Harel M, Geiger T, Levanon K.</t>
  </si>
  <si>
    <t>Mol Cell Proteomics. 2019 May;18(5):865-875. doi: 10.1074/mcp.RA119.001362. Epub 2019 Feb 13.</t>
  </si>
  <si>
    <t>Barnabas GD</t>
  </si>
  <si>
    <t>Mol Cell Proteomics</t>
  </si>
  <si>
    <t>PMC6495259</t>
  </si>
  <si>
    <t>An integrated microfluidic system for on-chip enrichment and quantification of circulating extracellular vesicles from whole blood</t>
  </si>
  <si>
    <t>Chen YS, Ma YD, Chen C, Shiesh SC, Lee GB.</t>
  </si>
  <si>
    <t>Lab Chip. 2019 Oct 7;19(19):3305-3315. doi: 10.1039/c9lc00624a. Epub 2019 Sep 9.</t>
  </si>
  <si>
    <t>Chen YS</t>
  </si>
  <si>
    <t>10.1039/c9lc00624a</t>
  </si>
  <si>
    <t>Feneberg E, Steinacker P, Lehnert S, Schneider A, Walther P, Thal DR, Linsenmeier M, Ludolph AC, Otto M.</t>
  </si>
  <si>
    <t>Amyotroph Lateral Scler Frontotemporal Degener. 2014 Sep;15(5-6):351-6. doi: 10.3109/21678421.2014.905606. Epub 2014 May 16.</t>
  </si>
  <si>
    <t>Feneberg E</t>
  </si>
  <si>
    <t>Amyotroph Lateral Scler Frontotemporal Degener</t>
  </si>
  <si>
    <t>Giordano L, Gregory AD, Pérez Verdaguer M, Ware SA, Harvey H, DeVallance E, Brzoska T, Sundd P, Zhang Y, Sciurba FC, Shapiro SD, Kaufman BA.</t>
  </si>
  <si>
    <t>Cells. 2022 Jan 22;11(3):369. doi: 10.3390/cells11030369.</t>
  </si>
  <si>
    <t>Giordano L</t>
  </si>
  <si>
    <t>PMC8834490</t>
  </si>
  <si>
    <t>Surface plasmon resonance biosensor using hydrogel-AuNP supramolecular spheres for determination of prostate cancer-derived exosomes</t>
  </si>
  <si>
    <t>Chen W, Li J, Wei X, Fan Y, Qian H, Li S, Xiang Y, Ding S.</t>
  </si>
  <si>
    <t>Mikrochim Acta. 2020 Oct 6;187(11):590. doi: 10.1007/s00604-020-04573-4.</t>
  </si>
  <si>
    <t>Chen W</t>
  </si>
  <si>
    <t>10.1007/s00604-020-04573-4</t>
  </si>
  <si>
    <t>Li S, Liu Q, Geng Z, Li K, Zhao T, Liu P.</t>
  </si>
  <si>
    <t>Anal Chem. 2021 May 25;93(20):7405-7412. doi: 10.1021/acs.analchem.0c02107. Epub 2021 May 11.</t>
  </si>
  <si>
    <t>De novo DNA methylation induced by circulating extracellular vesicles from acute coronary syndrome patients</t>
  </si>
  <si>
    <t>Schiano C, Balbi C, Burrello J, Ruocco A, Infante T, Fiorito C, Panella S, Barile L, Mauro C, Vassalli G, Napoli C.</t>
  </si>
  <si>
    <t>Atherosclerosis. 2022 Aug;354:41-52. doi: 10.1016/j.atherosclerosis.2022.06.1026. Epub 2022 Jul 6.</t>
  </si>
  <si>
    <t>Schiano C</t>
  </si>
  <si>
    <t>Atherosclerosis</t>
  </si>
  <si>
    <t>10.1016/j.atherosclerosis.2022.06.1026</t>
  </si>
  <si>
    <t>What Have We Learned from Cerebrospinal Fluid Studies about Biomarkers for Detecting LRRK2 Parkinson's Disease Patients and Healthy Subjects with Parkinson's-Associated LRRK2 Mutations?</t>
  </si>
  <si>
    <t>Loeffler DA, Aasly JO, LeWitt PA, Coffey MP.</t>
  </si>
  <si>
    <t>J Parkinsons Dis. 2019;9(3):467-488. doi: 10.3233/JPD-191630.</t>
  </si>
  <si>
    <t>Loeffler DA</t>
  </si>
  <si>
    <t>J Parkinsons Dis</t>
  </si>
  <si>
    <t>PMC6700639</t>
  </si>
  <si>
    <t>10.3233/JPD-191630</t>
  </si>
  <si>
    <t>Vignolini T, Macera L, Antonelli G, Pistello M, Maggi F, Giannecchini S.</t>
  </si>
  <si>
    <t>Virus Res. 2016 Jun 2;217:18-22. doi: 10.1016/j.virusres.2016.03.003. Epub 2016 Mar 6.</t>
  </si>
  <si>
    <t>Vignolini T</t>
  </si>
  <si>
    <t>Virus Res</t>
  </si>
  <si>
    <t>Thippabhotla S, Zhong C, He M.</t>
  </si>
  <si>
    <t>Sci Rep. 2019 Sep 10;9(1):13012. doi: 10.1038/s41598-019-49671-3.</t>
  </si>
  <si>
    <t>Thippabhotla S</t>
  </si>
  <si>
    <t>PMC6736862</t>
  </si>
  <si>
    <t>Identification of low-dose radiation-induced exosomal circ-METRN and miR-4709-3p/GRB14/PDGFRα pathway as a key regulatory mechanism in Glioblastoma progression and radioresistance: Functional validation and clinical theranostic significance</t>
  </si>
  <si>
    <t>Wang X, Cao Q, Shi Y, Wu X, Mi Y, Liu K, Kan Q, Fan R, Liu Z, Zhang M.</t>
  </si>
  <si>
    <t>Int J Biol Sci. 2021 Mar 2;17(4):1061-1078. doi: 10.7150/ijbs.57168. eCollection 2021.</t>
  </si>
  <si>
    <t>PMC8040305</t>
  </si>
  <si>
    <t>Inhibition of oncogenic epidermal growth factor receptor kinase triggers release of exosome-like extracellular vesicles and impacts their phosphoprotein and DNA content</t>
  </si>
  <si>
    <t>Montermini L, Meehan B, Garnier D, Lee WJ, Lee TH, Guha A, Al-Nedawi K, Rak J.</t>
  </si>
  <si>
    <t>J Biol Chem. 2015 Oct 2;290(40):24534-46. doi: 10.1074/jbc.M115.679217. Epub 2015 Aug 13.</t>
  </si>
  <si>
    <t>Montermini L</t>
  </si>
  <si>
    <t>PMC4591833</t>
  </si>
  <si>
    <t>Reátegui E, van der Vos KE, Lai CP, Zeinali M, Atai NA, Aldikacti B, Floyd FP Jr, H Khankhel A, Thapar V, Hochberg FH, Sequist LV, Nahed BV, S Carter B, Toner M, Balaj L, T Ting D, Breakefield XO, Stott SL.</t>
  </si>
  <si>
    <t>Nat Commun. 2018 Jan 12;9(1):175. doi: 10.1038/s41467-017-02261-1.</t>
  </si>
  <si>
    <t>Reátegui E</t>
  </si>
  <si>
    <t>PMC5766611</t>
  </si>
  <si>
    <t>Renelli M, Matias V, Lo RY, Beveridge TJ.</t>
  </si>
  <si>
    <t>Microbiology (Reading). 2004 Jul;150(Pt 7):2161-2169. doi: 10.1099/mic.0.26841-0.</t>
  </si>
  <si>
    <t>Renelli M</t>
  </si>
  <si>
    <t>Microbiology (Reading)</t>
  </si>
  <si>
    <t>Fiorillo AA, Heier CR, Huang YF, Tully CB, Punga T, Punga AR.</t>
  </si>
  <si>
    <t>Front Immunol. 2020 Feb 21;11:151. doi: 10.3389/fimmu.2020.00151. eCollection 2020.</t>
  </si>
  <si>
    <t>Fiorillo AA</t>
  </si>
  <si>
    <t>PMC7046803</t>
  </si>
  <si>
    <t>Liquid biopsies to occult brain metastasis</t>
  </si>
  <si>
    <t>Rehman AU, Khan P, Maurya SK, Siddiqui JA, Santamaria-Barria JA, Batra SK, Nasser MW.</t>
  </si>
  <si>
    <t>Mol Cancer. 2022 May 10;21(1):113. doi: 10.1186/s12943-022-01577-x.</t>
  </si>
  <si>
    <t>Rehman AU</t>
  </si>
  <si>
    <t>PMC9088117</t>
  </si>
  <si>
    <t>10.1186/s12943-022-01577-x</t>
  </si>
  <si>
    <t>SNCA Hypomethylation in Rapid Eye Movement Sleep Behavior Disorder Is a Potential Biomarker for Parkinson's Disease</t>
  </si>
  <si>
    <t>Zhao A, Li Y, Niu M, Li G, Luo N, Zhou L, Kang W, Liu J.</t>
  </si>
  <si>
    <t>J Parkinsons Dis. 2020;10(3):1023-1031. doi: 10.3233/JPD-201912.</t>
  </si>
  <si>
    <t>Zhao A</t>
  </si>
  <si>
    <t>10.3233/JPD-201912</t>
  </si>
  <si>
    <t>Chen C, Zong S, Liu Y, Wang Z, Zhang Y, Chen B, Cui Y.</t>
  </si>
  <si>
    <t>Small. 2019 Oct;15(43):e1901014. doi: 10.1002/smll.201901014. Epub 2019 Sep 3.</t>
  </si>
  <si>
    <t>Chen C</t>
  </si>
  <si>
    <t>Zhang XW, Liu MX, He MQ, Chen S, Yu YL, Wang JH.</t>
  </si>
  <si>
    <t>Anal Chem. 2021 Apr 27;93(16):6437-6445. doi: 10.1021/acs.analchem.1c00152. Epub 2021 Apr 12.</t>
  </si>
  <si>
    <t>Zhang XW</t>
  </si>
  <si>
    <t>Streptococcus mutans extracellular DNA is upregulated during growth in biofilms, actively released via membrane vesicles, and influenced by components of the protein secretion machinery</t>
  </si>
  <si>
    <t>Liao S, Klein MI, Heim KP, Fan Y, Bitoun JP, Ahn SJ, Burne RA, Koo H, Brady LJ, Wen ZT.</t>
  </si>
  <si>
    <t>J Bacteriol. 2014 Jul;196(13):2355-66. doi: 10.1128/JB.01493-14. Epub 2014 Apr 18.</t>
  </si>
  <si>
    <t>Liao S</t>
  </si>
  <si>
    <t>J Bacteriol</t>
  </si>
  <si>
    <t>PMC4054167</t>
  </si>
  <si>
    <t>FYCO1 mediates clearance of α-synuclein aggregates through a Rab7-dependent mechanism</t>
  </si>
  <si>
    <t>Saridaki T, Nippold M, Dinter E, Roos A, Diederichs L, Fensky L, Schulz JB, Falkenburger BH.</t>
  </si>
  <si>
    <t>J Neurochem. 2018 Aug;146(4):474-492. doi: 10.1111/jnc.14461. Epub 2018 Jul 23.</t>
  </si>
  <si>
    <t>Saridaki T</t>
  </si>
  <si>
    <t>J Neurochem</t>
  </si>
  <si>
    <t>10.1111/jnc.14461</t>
  </si>
  <si>
    <t>Development of a magnetic bead-based method for the collection of circulating extracellular vesicles</t>
  </si>
  <si>
    <t>Shih CL, Chong KY, Hsu SC, Chien HJ, Ma CT, Chang JW, Yu CJ, Chiou CC.</t>
  </si>
  <si>
    <t>N Biotechnol. 2016 Jan 25;33(1):116-22. doi: 10.1016/j.nbt.2015.09.003. Epub 2015 Sep 26.</t>
  </si>
  <si>
    <t>Shih CL</t>
  </si>
  <si>
    <t>N Biotechnol</t>
  </si>
  <si>
    <t>10.1016/j.nbt.2015.09.003</t>
  </si>
  <si>
    <t>He D, Ho SL, Chan HN, Wang H, Hai L, He X, Wang K, Li HW.</t>
  </si>
  <si>
    <t>Anal Chem. 2019 Feb 19;91(4):2768-2775. doi: 10.1021/acs.analchem.8b04509. Epub 2019 Jan 29.</t>
  </si>
  <si>
    <t>He D</t>
  </si>
  <si>
    <t>Miranda KC, Bond DT, McKee M, Skog J, Păunescu TG, Da Silva N, Brown D, Russo LM.</t>
  </si>
  <si>
    <t>Kidney Int. 2010 Jul;78(2):191-9. doi: 10.1038/ki.2010.106. Epub 2010 Apr 28.</t>
  </si>
  <si>
    <t>Miranda KC</t>
  </si>
  <si>
    <t>Kidney Int</t>
  </si>
  <si>
    <t>PMC4451567</t>
  </si>
  <si>
    <t>NIHMS693897</t>
  </si>
  <si>
    <t>Identification of double-stranded genomic DNA spanning all chromosomes with mutated KRAS and p53 DNA in the serum exosomes of patients with pancreatic cancer</t>
  </si>
  <si>
    <t>Kahlert C, Melo SA, Protopopov A, Tang J, Seth S, Koch M, Zhang J, Weitz J, Chin L, Futreal A, Kalluri R.</t>
  </si>
  <si>
    <t>J Biol Chem. 2014 Feb 14;289(7):3869-75. doi: 10.1074/jbc.C113.532267. Epub 2014 Jan 7.</t>
  </si>
  <si>
    <t>Kahlert C</t>
  </si>
  <si>
    <t>PMC3924256</t>
  </si>
  <si>
    <t>Balaj L, Lessard R, Dai L, Cho YJ, Pomeroy SL, Breakefield XO, Skog J.</t>
  </si>
  <si>
    <t>Nat Commun. 2011 Feb 1;2:180. doi: 10.1038/ncomms1180.</t>
  </si>
  <si>
    <t>PMC3040683</t>
  </si>
  <si>
    <t>NIHMS270621</t>
  </si>
  <si>
    <t>Ohyashiki K, Umezu T, Katagiri S, Kobayashi C, Azuma K, Tauchi T, Okabe S, Fukuoka Y, Ohyashiki JH.</t>
  </si>
  <si>
    <t>Int J Mol Sci. 2016 Apr 15;17(4):570. doi: 10.3390/ijms17040570.</t>
  </si>
  <si>
    <t>Ohyashiki K</t>
  </si>
  <si>
    <t>Int J Mol Sci</t>
  </si>
  <si>
    <t>PMC4849026</t>
  </si>
  <si>
    <t>Taylor DD, Gerçel-Taylor C.</t>
  </si>
  <si>
    <t>Br J Cancer. 2005 Jan 31;92(2):305-11. doi: 10.1038/sj.bjc.6602316.</t>
  </si>
  <si>
    <t>Taylor DD</t>
  </si>
  <si>
    <t>PMC2361848</t>
  </si>
  <si>
    <t>Exosomes as cell-derivative carriers in the diagnosis and treatment of central nervous system diseases</t>
  </si>
  <si>
    <t>Shetgaonkar GG, Marques SM, DCruz CEM, Vibhavari RJA, Kumar L, Shirodkar RK.</t>
  </si>
  <si>
    <t>Drug Deliv Transl Res. 2022 May;12(5):1047-1079. doi: 10.1007/s13346-021-01026-0. Epub 2021 Aug 7.</t>
  </si>
  <si>
    <t>Shetgaonkar GG</t>
  </si>
  <si>
    <t>Drug Deliv Transl Res</t>
  </si>
  <si>
    <t>PMC8942947</t>
  </si>
  <si>
    <t>10.1007/s13346-021-01026-0</t>
  </si>
  <si>
    <t>Cellular uptake of amelogenin, and its localization to CD63, and Lamp1-positive vesicles</t>
  </si>
  <si>
    <t>Shapiro JL, Wen X, Okamoto CT, Wang HJ, Lyngstadaas SP, Goldberg M, Snead ML, Paine ML.</t>
  </si>
  <si>
    <t>Cell Mol Life Sci. 2007 Jan;64(2):244-56. doi: 10.1007/s00018-006-6429-4.</t>
  </si>
  <si>
    <t>Shapiro JL</t>
  </si>
  <si>
    <t>Cell Mol Life Sci</t>
  </si>
  <si>
    <t>10.1007/s00018-006-6429-4</t>
  </si>
  <si>
    <t>Exosomal transmission of functional aquaporin 2 in kidney cortical collecting duct cells</t>
  </si>
  <si>
    <t>Street JM, Birkhoff W, Menzies RI, Webb DJ, Bailey MA, Dear JW.</t>
  </si>
  <si>
    <t>J Physiol. 2011 Dec 15;589(Pt 24):6119-27. doi: 10.1113/jphysiol.2011.220277. Epub 2011 Oct 24.</t>
  </si>
  <si>
    <t>Street JM</t>
  </si>
  <si>
    <t>J Physiol</t>
  </si>
  <si>
    <t>PMC3286690</t>
  </si>
  <si>
    <t>10.1113/jphysiol.2011.220277</t>
  </si>
  <si>
    <t>Urine-Derived Stem Cells Facilitate Endogenous Spermatogenesis Restoration of Busulfan-Induced Nonobstructive Azoospermic Mice by Paracrine Exosomes</t>
  </si>
  <si>
    <t>Deng C, Xie Y, Zhang C, Ouyang B, Chen H, Lv L, Yao J, Liang X, Zhang Y, Sun X, Deng C, Liu G.</t>
  </si>
  <si>
    <t>Stem Cells Dev. 2019 Oct 1;28(19):1322-1333. doi: 10.1089/scd.2019.0026. Epub 2019 Sep 9.</t>
  </si>
  <si>
    <t>Deng C</t>
  </si>
  <si>
    <t>Stem Cells Dev</t>
  </si>
  <si>
    <t>10.1089/scd.2019.0026</t>
  </si>
  <si>
    <t>Release of podocalyxin into the extracellular space. Role of metalloproteinases</t>
  </si>
  <si>
    <t>Fernández D, Larrucea S, Nowakowski A, Pericacho M, Parrilla R, Ayuso MS.</t>
  </si>
  <si>
    <t>Biochim Biophys Acta. 2011 Aug;1813(8):1504-10. doi: 10.1016/j.bbamcr.2011.05.009. Epub 2011 May 15.</t>
  </si>
  <si>
    <t>Fernández D</t>
  </si>
  <si>
    <t>10.1016/j.bbamcr.2011.05.009</t>
  </si>
  <si>
    <t>The present and future of prostate cancer urine biomarkers</t>
  </si>
  <si>
    <t>Rigau M, Olivan M, Garcia M, Sequeiros T, Montes M, Colás E, Llauradó M, Planas J, Torres Id, Morote J, Cooper C, Reventós J, Clark J, Doll A.</t>
  </si>
  <si>
    <t>Int J Mol Sci. 2013 Jun 17;14(6):12620-49. doi: 10.3390/ijms140612620.</t>
  </si>
  <si>
    <t>Rigau M</t>
  </si>
  <si>
    <t>PMC3709804</t>
  </si>
  <si>
    <t>10.3390/ijms140612620</t>
  </si>
  <si>
    <t>The circulating exosomal microRNAs related to albuminuria in patients with diabetic nephropathy</t>
  </si>
  <si>
    <t>Kim H, Bae YU, Jeon JS, Noh H, Park HK, Byun DW, Han DC, Ryu S, Kwon SH.</t>
  </si>
  <si>
    <t>J Transl Med. 2019 Jul 22;17(1):236. doi: 10.1186/s12967-019-1983-3.</t>
  </si>
  <si>
    <t>Kim H</t>
  </si>
  <si>
    <t>J Transl Med</t>
  </si>
  <si>
    <t>PMC6647278</t>
  </si>
  <si>
    <t>10.1186/s12967-019-1983-3</t>
  </si>
  <si>
    <t>Multiplex Biomarker Screening Assay for Urinary Extracellular Vesicles Study: A Targeted Label-Free Proteomic Approach</t>
  </si>
  <si>
    <t>Chutipongtanate S, Greis KD.</t>
  </si>
  <si>
    <t>Sci Rep. 2018 Oct 9;8(1):15039. doi: 10.1038/s41598-018-33280-7.</t>
  </si>
  <si>
    <t>Chutipongtanate S</t>
  </si>
  <si>
    <t>PMC6177456</t>
  </si>
  <si>
    <t>10.1038/s41598-018-33280-7</t>
  </si>
  <si>
    <t>Ramayanti O, Verkuijlen SAWM, Novianti P, Scheepbouwer C, Misovic B, Koppers-Lalic D, van Weering J, Beckers L, Adham M, Martorelli D, Middeldorp JM, Pegtel DM.</t>
  </si>
  <si>
    <t>Int J Cancer. 2019 May 15;144(10):2555-2566. doi: 10.1002/ijc.31967. Epub 2018 Dec 6.</t>
  </si>
  <si>
    <t>Ramayanti O</t>
  </si>
  <si>
    <t>PMC6587801</t>
  </si>
  <si>
    <t>Turco C, Esposito G, Iaiza A, Goeman F, Benedetti A, Gallo E, Daralioti T, Perracchio L, Sacconi A, Pasanisi P, Muti P, Pulito C, Strano S, Ianniello Z, Fatica A, Forcato M, Fazi F, Blandino G, Fontemaggi G.</t>
  </si>
  <si>
    <t>Commun Biol. 2022 Jun 16;5(1):598. doi: 10.1038/s42003-022-03539-x.</t>
  </si>
  <si>
    <t>Turco C</t>
  </si>
  <si>
    <t>PMC9203778</t>
  </si>
  <si>
    <t>Paramount levels of ergothioneine transporter SLC22A4 mRNA in boar seminal vesicles and cross-species analysis of ergothioneine and glutathione in seminal plasma</t>
  </si>
  <si>
    <t>Nikodemus D, Lazic D, Bach M, Bauer T, Pfeiffer C, Wiltzer L, Lain E, Schömig E, Gründemann D.</t>
  </si>
  <si>
    <t>J Physiol Pharmacol. 2011 Aug;62(4):411-9.</t>
  </si>
  <si>
    <t>Nikodemus D</t>
  </si>
  <si>
    <t>J Physiol Pharmacol</t>
  </si>
  <si>
    <t>Microvesicle-mediated RNA molecule delivery system using monocytes/macrophages</t>
  </si>
  <si>
    <t>Akao Y, Iio A, Itoh T, Noguchi S, Itoh Y, Ohtsuki Y, Naoe T.</t>
  </si>
  <si>
    <t>Mol Ther. 2011 Feb;19(2):395-9. doi: 10.1038/mt.2010.254. Epub 2010 Nov 23.</t>
  </si>
  <si>
    <t>Akao Y</t>
  </si>
  <si>
    <t>Mol Ther</t>
  </si>
  <si>
    <t>PMC3034851</t>
  </si>
  <si>
    <t>10.1038/mt.2010.254</t>
  </si>
  <si>
    <t>Modulation of cellular function through immune-activated exosomes</t>
  </si>
  <si>
    <t>Pulliam L, Gupta A.</t>
  </si>
  <si>
    <t>DNA Cell Biol. 2015 Jul;34(7):459-63. doi: 10.1089/dna.2015.2884. Epub 2015 May 6.</t>
  </si>
  <si>
    <t>Pulliam L</t>
  </si>
  <si>
    <t>DNA Cell Biol</t>
  </si>
  <si>
    <t>PMC4504252</t>
  </si>
  <si>
    <t>10.1089/dna.2015.2884</t>
  </si>
  <si>
    <t>DNA-methylation-mediated silencing of miR-486-5p promotes colorectal cancer proliferation and migration through activation of PLAGL2/IGF2/β-catenin signal pathways</t>
  </si>
  <si>
    <t>Liu X, Chen X, Zeng K, Xu M, He B, Pan Y, Sun H, Pan B, Xu X, Xu T, Hu X, Wang S.</t>
  </si>
  <si>
    <t>Cell Death Dis. 2018 Oct 10;9(10):1037. doi: 10.1038/s41419-018-1105-9.</t>
  </si>
  <si>
    <t>Liu X</t>
  </si>
  <si>
    <t>PMC6180105</t>
  </si>
  <si>
    <t>Formation and release of arrestin domain-containing protein 1-mediated microvesicles (ARMMs) at plasma membrane by recruitment of TSG101 protein</t>
  </si>
  <si>
    <t>Nabhan JF, Hu R, Oh RS, Cohen SN, Lu Q.</t>
  </si>
  <si>
    <t>Proc Natl Acad Sci U S A. 2012 Mar 13;109(11):4146-51. doi: 10.1073/pnas.1200448109. Epub 2012 Feb 6.</t>
  </si>
  <si>
    <t>Nabhan JF</t>
  </si>
  <si>
    <t>PMC3306724</t>
  </si>
  <si>
    <t>10.1073/pnas.1200448109</t>
  </si>
  <si>
    <t>Exosomal circRNA derived from gastric tumor promotes white adipose browning by targeting the miR-133/PRDM16 pathway</t>
  </si>
  <si>
    <t>Zhang H, Zhu L, Bai M, Liu Y, Zhan Y, Deng T, Yang H, Sun W, Wang X, Zhu K, Fan Q, Li J, Ying G, Ba Y.</t>
  </si>
  <si>
    <t>Int J Cancer. 2019 May 15;144(10):2501-2515. doi: 10.1002/ijc.31977. Epub 2019 Jan 4.</t>
  </si>
  <si>
    <t>Zhang H</t>
  </si>
  <si>
    <t>10.1002/ijc.31977</t>
  </si>
  <si>
    <t>Muscle Releases Alpha-Sarcoglycan Positive Extracellular Vesicles Carrying miRNAs in the Bloodstream</t>
  </si>
  <si>
    <t>Guescini M, Canonico B, Lucertini F, Maggio S, Annibalini G, Barbieri E, Luchetti F, Papa S, Stocchi V.</t>
  </si>
  <si>
    <t>PLoS One. 2015 May 8;10(5):e0125094. doi: 10.1371/journal.pone.0125094. eCollection 2015.</t>
  </si>
  <si>
    <t>Guescini M</t>
  </si>
  <si>
    <t>PMC4425492</t>
  </si>
  <si>
    <t>10.1371/journal.pone.0125094</t>
  </si>
  <si>
    <t>van der Ree MH, Jansen L, Kruize Z, van Nuenen AC, van Dort KA, Takkenberg RB, Reesink HW, Kootstra NA.</t>
  </si>
  <si>
    <t>J Infect Dis. 2017 May 1;215(9):1421-1429. doi: 10.1093/infdis/jix140.</t>
  </si>
  <si>
    <t>van der Ree MH</t>
  </si>
  <si>
    <t>Leal AC, Mizurini DM, Gomes T, Rochael NC, Saraiva EM, Dias MS, Werneck CC, Sielski MS, Vicente CP, Monteiro RQ.</t>
  </si>
  <si>
    <t>Sci Rep. 2017 Jul 25;7(1):6438. doi: 10.1038/s41598-017-06893-7.</t>
  </si>
  <si>
    <t>Leal AC</t>
  </si>
  <si>
    <t>PMC5526939</t>
  </si>
  <si>
    <t>Barriers to gene delivery using synthetic vectors</t>
  </si>
  <si>
    <t>Read ML, Logan A, Seymour LW.</t>
  </si>
  <si>
    <t>Adv Genet. 2005;53:19-46.</t>
  </si>
  <si>
    <t>Read ML</t>
  </si>
  <si>
    <t>Adv Genet</t>
  </si>
  <si>
    <t>5'-YRNA fragments derived by processing of transcripts from specific YRNA genes and pseudogenes are abundant in human serum and plasma</t>
  </si>
  <si>
    <t>Dhahbi JM, Spindler SR, Atamna H, Boffelli D, Mote P, Martin DI.</t>
  </si>
  <si>
    <t>Physiol Genomics. 2013 Nov 1;45(21):990-8. doi: 10.1152/physiolgenomics.00129.2013. Epub 2013 Sep 10.</t>
  </si>
  <si>
    <t>Dhahbi JM</t>
  </si>
  <si>
    <t>Physiol Genomics</t>
  </si>
  <si>
    <t>10.1152/physiolgenomics.00129.2013</t>
  </si>
  <si>
    <t>Polarized release of T-cell-receptor-enriched microvesicles at the immunological synapse</t>
  </si>
  <si>
    <t>Choudhuri K, Llodrá J, Roth EW, Tsai J, Gordo S, Wucherpfennig KW, Kam LC, Stokes DL, Dustin ML.</t>
  </si>
  <si>
    <t>Nature. 2014 Mar 6;507(7490):118-23. doi: 10.1038/nature12951. Epub 2014 Feb 2.</t>
  </si>
  <si>
    <t>Choudhuri K</t>
  </si>
  <si>
    <t>PMC3949170</t>
  </si>
  <si>
    <t>NIHMS548208</t>
  </si>
  <si>
    <t>10.1038/nature12951</t>
  </si>
  <si>
    <t>Microparticles as antigenic targets of antibodies to DNA and nucleosomes in systemic lupus erythematosus</t>
  </si>
  <si>
    <t>Ullal AJ, Reich CF 3rd, Clowse M, Criscione-Schreiber LG, Tochacek M, Monestier M, Pisetsky DS.</t>
  </si>
  <si>
    <t>J Autoimmun. 2011 May;36(3-4):173-80. doi: 10.1016/j.jaut.2011.02.001. Epub 2011 Mar 3.</t>
  </si>
  <si>
    <t>Ullal AJ</t>
  </si>
  <si>
    <t>10.1016/j.jaut.2011.02.001</t>
  </si>
  <si>
    <t>Tumor-derived exosomal miR-619-5p promotes tumor angiogenesis and metastasis through the inhibition of RCAN1.4</t>
  </si>
  <si>
    <t>Kim DH, Park S, Kim H, Choi YJ, Kim SY, Sung KJ, Sung YH, Choi CM, Yun M, Yi YS, Lee CW, Kim SY, Lee JC, Rho JK.</t>
  </si>
  <si>
    <t>Cancer Lett. 2020 Apr 10;475:2-13. doi: 10.1016/j.canlet.2020.01.023. Epub 2020 Jan 28.</t>
  </si>
  <si>
    <t>Kim DH</t>
  </si>
  <si>
    <t>10.1016/j.canlet.2020.01.023</t>
  </si>
  <si>
    <t>Li L, Zuo X, Liu D, Luo H, Zhang H, Peng Q, Wang G, Zhu H.</t>
  </si>
  <si>
    <t>Rheumatology (Oxford). 2022 May 30;61(6):2672-2681. doi: 10.1093/rheumatology/keab753.</t>
  </si>
  <si>
    <t>Li L</t>
  </si>
  <si>
    <t>Rheumatology (Oxford)</t>
  </si>
  <si>
    <t>Tu M, Wei F, Yang J, Wong D.</t>
  </si>
  <si>
    <t>J Vis Exp. 2015 Jan 23;(95):52439. doi: 10.3791/52439.</t>
  </si>
  <si>
    <t>Tu M</t>
  </si>
  <si>
    <t>PMC4354565</t>
  </si>
  <si>
    <t>Membrane protected apoptotic trophoblast microparticles contain nucleic acids: relevance to preeclampsia</t>
  </si>
  <si>
    <t>Orozco AF, Jorgez CJ, Horne C, Marquez-Do DA, Chapman MR, Rodgers JR, Bischoff FZ, Lewis DE.</t>
  </si>
  <si>
    <t>Am J Pathol. 2008 Dec;173(6):1595-608. doi: 10.2353/ajpath.2008.080414. Epub 2008 Oct 30.</t>
  </si>
  <si>
    <t>Am J Pathol</t>
  </si>
  <si>
    <t>PMC2626372</t>
  </si>
  <si>
    <t>10.2353/ajpath.2008.080414</t>
  </si>
  <si>
    <t>Wang L, Lv J, Guo C, Li H, Xiong C.</t>
  </si>
  <si>
    <t>Biotechnol Appl Biochem. 2014 May-Jun;61(3):342-8. doi: 10.1002/bab.1172. Epub 2014 Mar 24.</t>
  </si>
  <si>
    <t>Biotechnol Appl Biochem</t>
  </si>
  <si>
    <t>Massively parallel sequencing of human urinary exosome/microvesicle RNA reveals a predominance of non-coding RNA</t>
  </si>
  <si>
    <t>Miranda KC, Bond DT, Levin JZ, Adiconis X, Sivachenko A, Russ C, Brown D, Nusbaum C, Russo LM.</t>
  </si>
  <si>
    <t>PLoS One. 2014 May 9;9(5):e96094. doi: 10.1371/journal.pone.0096094. eCollection 2014.</t>
  </si>
  <si>
    <t>PMC4015934</t>
  </si>
  <si>
    <t>10.1371/journal.pone.0096094</t>
  </si>
  <si>
    <t>Pleomorphic bacteria-like structures in human blood represent non-living membrane vesicles and protein particles</t>
  </si>
  <si>
    <t>Martel J, Wu CY, Huang PR, Cheng WY, Young JD.</t>
  </si>
  <si>
    <t>Sci Rep. 2017 Sep 6;7(1):10650. doi: 10.1038/s41598-017-10479-8.</t>
  </si>
  <si>
    <t>Martel J</t>
  </si>
  <si>
    <t>PMC5587737</t>
  </si>
  <si>
    <t>10.1038/s41598-017-10479-8</t>
  </si>
  <si>
    <t>Eosinophil extracellular DNA trap cell death mediates lytic release of free secretion-competent eosinophil granules in humans</t>
  </si>
  <si>
    <t>Ueki S, Melo RC, Ghiran I, Spencer LA, Dvorak AM, Weller PF.</t>
  </si>
  <si>
    <t>Blood. 2013 Mar 14;121(11):2074-83. doi: 10.1182/blood-2012-05-432088. Epub 2013 Jan 9.</t>
  </si>
  <si>
    <t>Ueki S</t>
  </si>
  <si>
    <t>Blood</t>
  </si>
  <si>
    <t>PMC3596967</t>
  </si>
  <si>
    <t>10.1182/blood-2012-05-432088</t>
  </si>
  <si>
    <t>Tissue factor expression in neutrophil extracellular traps and neutrophil derived microparticles in antineutrophil cytoplasmic antibody associated vasculitis may promote thromboinflammation and the thrombophilic state associated with the disease</t>
  </si>
  <si>
    <t>Kambas K, Chrysanthopoulou A, Vassilopoulos D, Apostolidou E, Skendros P, Girod A, Arelaki S, Froudarakis M, Nakopoulou L, Giatromanolaki A, Sidiropoulos P, Koffa M, Boumpas DT, Ritis K, Mitroulis I.</t>
  </si>
  <si>
    <t>Ann Rheum Dis. 2014 Oct;73(10):1854-63. doi: 10.1136/annrheumdis-2013-203430. Epub 2013 Jul 19.</t>
  </si>
  <si>
    <t>Kambas K</t>
  </si>
  <si>
    <t>Ann Rheum Dis</t>
  </si>
  <si>
    <t>10.1136/annrheumdis-2013-203430</t>
  </si>
  <si>
    <t>Cell-autonomous FLT3L shedding via ADAM10 mediates conventional dendritic cell development in mouse spleen</t>
  </si>
  <si>
    <t>Fujita K, Chakarov S, Kobayashi T, Sakamoto K, Voisin B, Duan K, Nakagawa T, Horiuchi K, Amagai M, Ginhoux F, Nagao K.</t>
  </si>
  <si>
    <t>Proc Natl Acad Sci U S A. 2019 Jul 16;116(29):14714-14723. doi: 10.1073/pnas.1818907116. Epub 2019 Jul 1.</t>
  </si>
  <si>
    <t>Fujita K</t>
  </si>
  <si>
    <t>PMC6642353</t>
  </si>
  <si>
    <t>10.1073/pnas.1818907116</t>
  </si>
  <si>
    <t>A novel approach to stabilize fetal cell-free DNA fraction in maternal blood samples for extended period of time</t>
  </si>
  <si>
    <t>Fernando MR, Jiang C, Krzyzanowski GD, Somer-Shely T, Ryan WL.</t>
  </si>
  <si>
    <t>PLoS One. 2018 Dec 6;13(12):e0208508. doi: 10.1371/journal.pone.0208508. eCollection 2018.</t>
  </si>
  <si>
    <t>Fernando MR</t>
  </si>
  <si>
    <t>PMC6283530</t>
  </si>
  <si>
    <t>10.1371/journal.pone.0208508</t>
  </si>
  <si>
    <t>Exosomes are natural carriers of exogenous siRNA to human cells in vitro</t>
  </si>
  <si>
    <t>Shtam TA, Kovalev RA, Varfolomeeva EY, Makarov EM, Kil YV, Filatov MV.</t>
  </si>
  <si>
    <t>Cell Commun Signal. 2013 Nov 18;11:88. doi: 10.1186/1478-811X-11-88.</t>
  </si>
  <si>
    <t>Shtam TA</t>
  </si>
  <si>
    <t>Cell Commun Signal</t>
  </si>
  <si>
    <t>PMC3895799</t>
  </si>
  <si>
    <t>10.1186/1478-811X-11-88</t>
  </si>
  <si>
    <t>Zeng A, Wei Z, Yan W, Yin J, Huang X, Zhou X, Li R, Shen F, Wu W, Wang X, You Y.</t>
  </si>
  <si>
    <t>Cancer Lett. 2018 Nov 1;436:10-21. doi: 10.1016/j.canlet.2018.08.004. Epub 2018 Aug 10.</t>
  </si>
  <si>
    <t>Zeng A</t>
  </si>
  <si>
    <t>Novel Autoantigens Associated with Lupus Nephritis</t>
  </si>
  <si>
    <t>Onishi S, Adnan E, Ishizaki J, Miyazaki T, Tanaka Y, Matsumoto T, Suemori K, Shudou M, Okura T, Takeda H, Sawasaki T, Yasukawa M, Hasegawa H.</t>
  </si>
  <si>
    <t>PLoS One. 2015 Jun 22;10(6):e0126564. doi: 10.1371/journal.pone.0126564. eCollection 2015.</t>
  </si>
  <si>
    <t>Onishi S</t>
  </si>
  <si>
    <t>PMC4476694</t>
  </si>
  <si>
    <t>10.1371/journal.pone.0126564</t>
  </si>
  <si>
    <t>DNA methylation-mediated repression of exosomal miR-652-5p expression promotes oesophageal squamous cell carcinoma aggressiveness by targeting PARG and VEGF pathways</t>
  </si>
  <si>
    <t>Gao P, Wang D, Liu M, Chen S, Yang Z, Zhang J, Wang H, Niu Y, Wang W, Yang J, Sun G.</t>
  </si>
  <si>
    <t>PLoS Genet. 2020 Apr 28;16(4):e1008592. doi: 10.1371/journal.pgen.1008592. eCollection 2020 Apr.</t>
  </si>
  <si>
    <t>Gao P</t>
  </si>
  <si>
    <t>PLoS Genet</t>
  </si>
  <si>
    <t>PMC7188198</t>
  </si>
  <si>
    <t>10.1371/journal.pgen.1008592</t>
  </si>
  <si>
    <t>Solakoglu Ö, Steinbach B, Götz W, Heydecke G, Schwarzenbach H.</t>
  </si>
  <si>
    <t>BMC Oral Health. 2022 Jan 30;22(1):24. doi: 10.1186/s12903-021-02036-7.</t>
  </si>
  <si>
    <t>Solakoglu Ö</t>
  </si>
  <si>
    <t>BMC Oral Health</t>
  </si>
  <si>
    <t>PMC8802434</t>
  </si>
  <si>
    <t>Casarotto E, Sproviero D, Corridori E, Gagliani MC, Cozzi M, Chierichetti M, Cristofani R, Ferrari V, Galbiati M, Mina F, Piccolella M, Rusmini P, Tedesco B, Gagliardi S, Cortese K, Cereda C, Poletti A, Crippa V.</t>
  </si>
  <si>
    <t>Cells. 2022 Feb 2;11(3):516. doi: 10.3390/cells11030516.</t>
  </si>
  <si>
    <t>Casarotto E</t>
  </si>
  <si>
    <t>PMC8833957</t>
  </si>
  <si>
    <t>High-throughput sequencing of human plasma RNA by using thermostable group II intron reverse transcriptases</t>
  </si>
  <si>
    <t>Qin Y, Yao J, Wu DC, Nottingham RM, Mohr S, Hunicke-Smith S, Lambowitz AM.</t>
  </si>
  <si>
    <t>RNA. 2016 Jan;22(1):111-28. doi: 10.1261/rna.054809.115. Epub 2015 Nov 9.</t>
  </si>
  <si>
    <t>Qin Y</t>
  </si>
  <si>
    <t>PMC4691826</t>
  </si>
  <si>
    <t>10.1261/rna.054809.115</t>
  </si>
  <si>
    <t>Edhayan G, Ohara RA, Stinson WA, Amin MA, Isozaki T, Ha CM, Haines GK 3rd, Morgan R, Campbell PL, Arbab AS, Friday SC, Fox DA, Ruth JH.</t>
  </si>
  <si>
    <t>Arthritis Res Ther. 2016 Apr 12;18:87. doi: 10.1186/s13075-016-0984-3.</t>
  </si>
  <si>
    <t>Edhayan G</t>
  </si>
  <si>
    <t>PMC4830090</t>
  </si>
  <si>
    <t>Liu W, Ota M, Tabushi M, Takahashi Y, Takakura Y.</t>
  </si>
  <si>
    <t>J Control Release. 2022 May;345:433-442. doi: 10.1016/j.jconrel.2022.03.016. Epub 2022 Mar 14.</t>
  </si>
  <si>
    <t>Liu W</t>
  </si>
  <si>
    <t>J Control Release</t>
  </si>
  <si>
    <t>CLC-5 and KIF3B interact to facilitate CLC-5 plasma membrane expression, endocytosis, and microtubular transport: relevance to pathophysiology of Dent's disease</t>
  </si>
  <si>
    <t>Reed AA, Loh NY, Terryn S, Lippiat JD, Partridge C, Galvanovskis J, Williams SE, Jouret F, Wu FT, Courtoy PJ, Nesbit MA, Rorsman P, Devuyst O, Ashcroft FM, Thakker RV.</t>
  </si>
  <si>
    <t>Am J Physiol Renal Physiol. 2010 Feb;298(2):F365-80. doi: 10.1152/ajprenal.00038.2009. Epub 2009 Nov 25.</t>
  </si>
  <si>
    <t>Reed AA</t>
  </si>
  <si>
    <t>Am J Physiol Renal Physiol</t>
  </si>
  <si>
    <t>PMC2822520</t>
  </si>
  <si>
    <t>10.1152/ajprenal.00038.2009</t>
  </si>
  <si>
    <t>Induction of HIF-1α by HIV-1 Infection in CD4(+) T Cells Promotes Viral Replication and Drives Extracellular Vesicle-Mediated Inflammation</t>
  </si>
  <si>
    <t>Duette G, Pereyra Gerber P, Rubione J, Perez PS, Landay AL, Crowe SM, Liao Z, Witwer KW, Holgado MP, Salido J, Geffner J, Sued O, Palmer CS, Ostrowski M.</t>
  </si>
  <si>
    <t>mBio. 2018 Sep 11;9(5):e00757-18. doi: 10.1128/mBio.00757-18.</t>
  </si>
  <si>
    <t>Duette G</t>
  </si>
  <si>
    <t>mBio</t>
  </si>
  <si>
    <t>PMC6134101</t>
  </si>
  <si>
    <t>Urinary excretion pattern of exosomal aquaporin-2 in rats that received gentamicin</t>
  </si>
  <si>
    <t>Abdeen A, Sonoda H, El-Shawarby R, Takahashi S, Ikeda M.</t>
  </si>
  <si>
    <t>Am J Physiol Renal Physiol. 2014 Dec 1;307(11):F1227-37. doi: 10.1152/ajprenal.00140.2014. Epub 2014 Oct 22.</t>
  </si>
  <si>
    <t>Abdeen A</t>
  </si>
  <si>
    <t>10.1152/ajprenal.00140.2014</t>
  </si>
  <si>
    <t>Giovannelli I, Martelli F, Repice A, Massacesi L, Azzi A, Giannecchini S.</t>
  </si>
  <si>
    <t>J Neurovirol. 2015 Dec;21(6):666-70. doi: 10.1007/s13365-015-0325-3. Epub 2015 Feb 13.</t>
  </si>
  <si>
    <t>Giovannelli I</t>
  </si>
  <si>
    <t>J Neurovirol</t>
  </si>
  <si>
    <t>Singh N, Huang L, Wang DB, Shao N, Zhang XE.</t>
  </si>
  <si>
    <t>Anal Chem. 2020 Aug 4;92(15):10569-10577. doi: 10.1021/acs.analchem.0c01464. Epub 2020 Jul 14.</t>
  </si>
  <si>
    <t>Singh N</t>
  </si>
  <si>
    <t>Zhang J, Shi J, Zhang H, Zhu Y, Liu W, Zhang K, Zhang Z.</t>
  </si>
  <si>
    <t>J Extracell Vesicles. 2020 Oct;10(1):e12025. doi: 10.1002/jev2.12025. Epub 2020 Nov 11.</t>
  </si>
  <si>
    <t>Zhang J</t>
  </si>
  <si>
    <t>PMC7710127</t>
  </si>
  <si>
    <t>Differential expression of miR-145 in children with Kawasaki disease</t>
  </si>
  <si>
    <t>Shimizu C, Kim J, Stepanowsky P, Trinh C, Lau HD, Akers JC, Chen C, Kanegaye JT, Tremoulet A, Ohno-Machado L, Burns JC.</t>
  </si>
  <si>
    <t>PLoS One. 2013;8(3):e58159. doi: 10.1371/journal.pone.0058159. Epub 2013 Mar 6.</t>
  </si>
  <si>
    <t>Shimizu C</t>
  </si>
  <si>
    <t>PMC3590129</t>
  </si>
  <si>
    <t>10.1371/journal.pone.0058159</t>
  </si>
  <si>
    <t>Hu J, Sheng Y, Kwak KJ, Shi J, Yu B, Lee LJ.</t>
  </si>
  <si>
    <t>Nat Commun. 2017 Nov 22;8(1):1683. doi: 10.1038/s41467-017-01942-1.</t>
  </si>
  <si>
    <t>Hu J</t>
  </si>
  <si>
    <t>PMC5698315</t>
  </si>
  <si>
    <t>Isolation of circulating microRNAs from microvesicles found in human plasma</t>
  </si>
  <si>
    <t>Quackenbush JF, Cassidy PB, Pfeffer LM, Boucher KM, Hawkes JE, Pfeffer SR, Kopelovich L, Leachman SA.</t>
  </si>
  <si>
    <t>Methods Mol Biol. 2014;1102:641-53. doi: 10.1007/978-1-62703-727-3_34.</t>
  </si>
  <si>
    <t>Quackenbush JF</t>
  </si>
  <si>
    <t>10.1007/978-1-62703-727-3_34</t>
  </si>
  <si>
    <t>Caveolin-1 in extracellular matrix vesicles secreted from osteoblasts</t>
  </si>
  <si>
    <t>Sawada N, Taketani Y, Amizuka N, Ichikawa M, Ogawa C, Nomoto K, Nashiki K, Sato T, Arai H, Isshiki M, Segawa H, Yamamoto H, Miyamoto K, Takeda E.</t>
  </si>
  <si>
    <t>Bone. 2007 Jul;41(1):52-8. doi: 10.1016/j.bone.2007.02.030. Epub 2007 Mar 14.</t>
  </si>
  <si>
    <t>Sawada N</t>
  </si>
  <si>
    <t>Bone</t>
  </si>
  <si>
    <t>10.1016/j.bone.2007.02.030</t>
  </si>
  <si>
    <t>Liquid biopsy for cancer diagnosis and screening - The promise and challenges</t>
  </si>
  <si>
    <t>Thorat MA.</t>
  </si>
  <si>
    <t>Ann Clin Biochem. 2019 Jul;56(4):420-423. doi: 10.1177/0004563219837592. Epub 2019 Apr 11.</t>
  </si>
  <si>
    <t>Thorat MA</t>
  </si>
  <si>
    <t>Ann Clin Biochem</t>
  </si>
  <si>
    <t>10.1177/0004563219837592</t>
  </si>
  <si>
    <t>Macrophages discriminate glycosylation patterns of apoptotic cell-derived microparticles</t>
  </si>
  <si>
    <t>Bilyy RO, Shkandina T, Tomin A, Muñoz LE, Franz S, Antonyuk V, Kit YY, Zirngibl M, Fürnrohr BG, Janko C, Lauber K, Schiller M, Schett G, Stoika RS, Herrmann M.</t>
  </si>
  <si>
    <t>J Biol Chem. 2012 Jan 2;287(1):496-503. doi: 10.1074/jbc.M111.273144. Epub 2011 Nov 10.</t>
  </si>
  <si>
    <t>Bilyy RO</t>
  </si>
  <si>
    <t>PMC3249103</t>
  </si>
  <si>
    <t>10.1074/jbc.M111.273144</t>
  </si>
  <si>
    <t>Galindo-Hernandez O, Gonzales-Vazquez C, Cortes-Reynosa P, Reyes-Uribe E, Chavez-Ocaña S, Reyes-Hernandez O, Sierra-Martinez M, Salazar EP.</t>
  </si>
  <si>
    <t>Tumour Biol. 2015 Dec;36(12):9649-59. doi: 10.1007/s13277-015-3711-9. Epub 2015 Jul 7.</t>
  </si>
  <si>
    <t>Galindo-Hernandez O</t>
  </si>
  <si>
    <t>Tumour Biol</t>
  </si>
  <si>
    <t>The mammalian SKIV2L RNA exosome is essential for early B cell development</t>
  </si>
  <si>
    <t>Yang K, Han J, Gill JG, Park JY, Sathe MN, Gattineni J, Wright T, Wysocki C, de la Morena MT, Yan N.</t>
  </si>
  <si>
    <t>Sci Immunol. 2022 Jun 3;7(72):eabn2888. doi: 10.1126/sciimmunol.abn2888. Epub 2022 Jun 3.</t>
  </si>
  <si>
    <t>Yang K</t>
  </si>
  <si>
    <t>Sci Immunol</t>
  </si>
  <si>
    <t>PMC9376044</t>
  </si>
  <si>
    <t>NIHMS1824325</t>
  </si>
  <si>
    <t>10.1126/sciimmunol.abn2888</t>
  </si>
  <si>
    <t>Kanada M, Bachmann MH, Hardy JW, Frimannson DO, Bronsart L, Wang A, Sylvester MD, Schmidt TL, Kaspar RL, Butte MJ, Matin AC, Contag CH.</t>
  </si>
  <si>
    <t>Proc Natl Acad Sci U S A. 2015 Mar 24;112(12):E1433-42. doi: 10.1073/pnas.1418401112. Epub 2015 Feb 23.</t>
  </si>
  <si>
    <t>Kanada M</t>
  </si>
  <si>
    <t>PMC4378439</t>
  </si>
  <si>
    <t>Characterization of urinary exosomal release of aquaporin-1 and -2 after renal ischemia-reperfusion in rats</t>
  </si>
  <si>
    <t>Asvapromtada S, Sonoda H, Kinouchi M, Oshikawa S, Takahashi S, Hoshino Y, Sinlapadeelerdkul T, Yokota-Ikeda N, Matsuzaki T, Ikeda M.</t>
  </si>
  <si>
    <t>Am J Physiol Renal Physiol. 2018 Apr 1;314(4):F584-F601. doi: 10.1152/ajprenal.00184.2017. Epub 2017 Dec 13.</t>
  </si>
  <si>
    <t>Asvapromtada S</t>
  </si>
  <si>
    <t>10.1152/ajprenal.00184.2017</t>
  </si>
  <si>
    <t>Ding X, Ma M, Teng J, Teng RK, Zhou S, Yin J, Fonkem E, Huang JH, Wu E, Wang X.</t>
  </si>
  <si>
    <t>Oncotarget. 2015 Sep 15;6(27):24178-91. doi: 10.18632/oncotarget.4680.</t>
  </si>
  <si>
    <t>Ding X</t>
  </si>
  <si>
    <t>PMC4695178</t>
  </si>
  <si>
    <t>Liquid Biopsy: Is There an Advantage to Analyzing Circulating Exosomal DNA Compared to cfDNA or Are They the Same?</t>
  </si>
  <si>
    <t>Kahlert C.</t>
  </si>
  <si>
    <t>Cancer Res. 2019 May 15;79(10):2462-2465. doi: 10.1158/0008-5472.CAN-19-0019. Epub 2019 May 1.</t>
  </si>
  <si>
    <t>10.1158/0008-5472.CAN-19-0019</t>
  </si>
  <si>
    <t>Sandgren S, Wittrup A, Cheng F, Jönsson M, Eklund E, Busch S, Belting M.</t>
  </si>
  <si>
    <t>J Biol Chem. 2004 Apr 23;279(17):17951-6. doi: 10.1074/jbc.M311440200. Epub 2004 Feb 11.</t>
  </si>
  <si>
    <t>Sandgren S</t>
  </si>
  <si>
    <t>Distinct expression profile of HCMV encoded miRNAs in plasma from oral lichen planus patients</t>
  </si>
  <si>
    <t>Ding M, Wang X, Wang C, Liu X, Zen K, Wang W, Zhang CY, Zhang C.</t>
  </si>
  <si>
    <t>J Transl Med. 2017 Jun 7;15(1):133. doi: 10.1186/s12967-017-1222-8.</t>
  </si>
  <si>
    <t>Ding M</t>
  </si>
  <si>
    <t>PMC5463403</t>
  </si>
  <si>
    <t>10.1186/s12967-017-1222-8</t>
  </si>
  <si>
    <t>Zheng J, Yu L, Chen W, Lu X, Fan X.</t>
  </si>
  <si>
    <t>Sci Rep. 2018 Feb 12;8(1):2832. doi: 10.1038/s41598-018-21113-6.</t>
  </si>
  <si>
    <t>Zheng J</t>
  </si>
  <si>
    <t>PMC5809479</t>
  </si>
  <si>
    <t>Total internal reflection-based single-vesicle in situ quantitative and stoichiometric analysis of tumor-derived exosomal microRNAs for diagnosis and treatment monitoring</t>
  </si>
  <si>
    <t>He D, Wang H, Ho SL, Chan HN, Hai L, He X, Wang K, Li HW.</t>
  </si>
  <si>
    <t>Theranostics. 2019 Jun 9;9(15):4494-4507. doi: 10.7150/thno.33683. eCollection 2019.</t>
  </si>
  <si>
    <t>PMC6599656</t>
  </si>
  <si>
    <t>10.7150/thno.33683</t>
  </si>
  <si>
    <t>Yerneni SS, Solomon T, Smith J, Campbell PG.</t>
  </si>
  <si>
    <t>Biochim Biophys Acta Gen Subj. 2022 Feb;1866(2):130069. doi: 10.1016/j.bbagen.2021.130069. Epub 2021 Dec 11.</t>
  </si>
  <si>
    <t>Yerneni SS</t>
  </si>
  <si>
    <t>Csak T, Bala S, Lippai D, Satishchandran A, Catalano D, Kodys K, Szabo G.</t>
  </si>
  <si>
    <t>Liver Int. 2015 Feb;35(2):532-41. doi: 10.1111/liv.12633. Epub 2014 Jul 28.</t>
  </si>
  <si>
    <t>Csak T</t>
  </si>
  <si>
    <t>Liver Int</t>
  </si>
  <si>
    <t>PMC4289469</t>
  </si>
  <si>
    <t>NIHMS613239</t>
  </si>
  <si>
    <t>Tavoosidana G, Ronquist G, Darmanis S, Yan J, Carlsson L, Wu D, Conze T, Ek P, Semjonow A, Eltze E, Larsson A, Landegren UD, Kamali-Moghaddam M.</t>
  </si>
  <si>
    <t>Proc Natl Acad Sci U S A. 2011 May 24;108(21):8809-14. doi: 10.1073/pnas.1019330108. Epub 2011 May 9.</t>
  </si>
  <si>
    <t>Tavoosidana G</t>
  </si>
  <si>
    <t>PMC3102389</t>
  </si>
  <si>
    <t>Replication of lactate dehydrogenase-elevating virus in macrophages. 1. Evidence for cytocidal replication</t>
  </si>
  <si>
    <t>Ritzi DM, Holth M, Smith MS, Swart WJ, Cafruny WA, Plagemann GW, Stueckemann JA.</t>
  </si>
  <si>
    <t>J Gen Virol. 1982 Apr;59(Pt 2):245-62. doi: 10.1099/0022-1317-59-2-245.</t>
  </si>
  <si>
    <t>Ritzi DM</t>
  </si>
  <si>
    <t>J Gen Virol</t>
  </si>
  <si>
    <t>10.1099/0022-1317-59-2-245</t>
  </si>
  <si>
    <t>Identification of an inhibitory budding signal that blocks the release of HIV particles and exosome/microvesicle proteins</t>
  </si>
  <si>
    <t>Gan X, Gould SJ.</t>
  </si>
  <si>
    <t>Mol Biol Cell. 2011 Mar 15;22(6):817-30. doi: 10.1091/mbc.E10-07-0625. Epub 2011 Jan 19.</t>
  </si>
  <si>
    <t>Gan X</t>
  </si>
  <si>
    <t>Mol Biol Cell</t>
  </si>
  <si>
    <t>PMC3057706</t>
  </si>
  <si>
    <t>10.1091/mbc.E10-07-0625</t>
  </si>
  <si>
    <t>Silica nanoparticles administered at the maximum tolerated dose induce genotoxic effects through an inflammatory reaction while gold nanoparticles do not</t>
  </si>
  <si>
    <t>Downs TR, Crosby ME, Hu T, Kumar S, Sullivan A, Sarlo K, Reeder B, Lynch M, Wagner M, Mills T, Pfuhler S.</t>
  </si>
  <si>
    <t>Mutat Res. 2012 Jun 14;745(1-2):38-50. doi: 10.1016/j.mrgentox.2012.03.012. Epub 2012 Apr 6.</t>
  </si>
  <si>
    <t>Downs TR</t>
  </si>
  <si>
    <t>10.1016/j.mrgentox.2012.03.012</t>
  </si>
  <si>
    <t>Secretion of active membrane type 1 matrix metalloproteinase (MMP-14) into extracellular space in microvesicular exosomes</t>
  </si>
  <si>
    <t>Hakulinen J, Sankkila L, Sugiyama N, Lehti K, Keski-Oja J.</t>
  </si>
  <si>
    <t>J Cell Biochem. 2008 Dec 1;105(5):1211-8. doi: 10.1002/jcb.21923.</t>
  </si>
  <si>
    <t>Hakulinen J</t>
  </si>
  <si>
    <t>10.1002/jcb.21923</t>
  </si>
  <si>
    <t>Albanese J, Dainiak N.</t>
  </si>
  <si>
    <t>Stem Cells. 1997;15 Suppl 2:49-57. doi: 10.1002/stem.5530150709.</t>
  </si>
  <si>
    <t>Albanese J</t>
  </si>
  <si>
    <t>10.1002/stem.5530150709</t>
  </si>
  <si>
    <t>Id Boufker H, Lagneaux L, Fayyad-Kazan H, Badran B, Najar M, Wiedig M, Ghanem G, Laurent G, Body JJ, Journé F.</t>
  </si>
  <si>
    <t>Bone. 2011 Dec;49(6):1219-31. doi: 10.1016/j.bone.2011.08.013. Epub 2011 Aug 26.</t>
  </si>
  <si>
    <t>Id Boufker H</t>
  </si>
  <si>
    <t>CALEB/NGC interacts with the Golgi-associated protein PIST</t>
  </si>
  <si>
    <t>Hassel B, Schreff M, Stube EM, Blaich U, Schumacher S.</t>
  </si>
  <si>
    <t>J Biol Chem. 2003 Oct 10;278(41):40136-43. doi: 10.1074/jbc.M305577200. Epub 2003 Jul 28.</t>
  </si>
  <si>
    <t>Hassel B</t>
  </si>
  <si>
    <t>10.1074/jbc.M305577200</t>
  </si>
  <si>
    <t>New type of outer membrane vesicle produced by the Gram-negative bacterium Shewanella vesiculosa M7T: implications for DNA content</t>
  </si>
  <si>
    <t>Pérez-Cruz C, Carrión O, Delgado L, Martinez G, López-Iglesias C, Mercade E.</t>
  </si>
  <si>
    <t>Appl Environ Microbiol. 2013 Mar;79(6):1874-81. doi: 10.1128/AEM.03657-12. Epub 2013 Jan 11.</t>
  </si>
  <si>
    <t>Pérez-Cruz C</t>
  </si>
  <si>
    <t>Appl Environ Microbiol</t>
  </si>
  <si>
    <t>PMC3592255</t>
  </si>
  <si>
    <t>10.1128/AEM.03657-12</t>
  </si>
  <si>
    <t>Calreticulin on the mouse egg surface mediates transmembrane signaling linked to cell cycle resumption</t>
  </si>
  <si>
    <t>Tutuncu L, Stein P, Ord TS, Jorgez CJ, Williams CJ.</t>
  </si>
  <si>
    <t>Dev Biol. 2004 Jun 1;270(1):246-60. doi: 10.1016/j.ydbio.2004.02.008.</t>
  </si>
  <si>
    <t>Tutuncu L</t>
  </si>
  <si>
    <t>Dev Biol</t>
  </si>
  <si>
    <t>10.1016/j.ydbio.2004.02.008</t>
  </si>
  <si>
    <t>Hsp70 binds to PrPC in the process of PrPC release via exosomes from THP-1 monocytes</t>
  </si>
  <si>
    <t>Wang GH, Zhou XM, Bai Y, Yin XM, Yang LF, Zhao D.</t>
  </si>
  <si>
    <t>Cell Biol Int. 2011 Jun;35(6):553-8. doi: 10.1042/CBI20090391.</t>
  </si>
  <si>
    <t>Wang GH</t>
  </si>
  <si>
    <t>Cell Biol Int</t>
  </si>
  <si>
    <t>10.1042/CBI20090391</t>
  </si>
  <si>
    <t>Serum autoantibody to the nucleolar antigen PM-Scl. Clinical and immunogenetic associations</t>
  </si>
  <si>
    <t>Oddis CV, Okano Y, Rudert WA, Trucco M, Duquesnoy RJ, Medsger TA Jr.</t>
  </si>
  <si>
    <t>Arthritis Rheum. 1992 Oct;35(10):1211-7. doi: 10.1002/art.1780351014.</t>
  </si>
  <si>
    <t>Oddis CV</t>
  </si>
  <si>
    <t>Arthritis Rheum</t>
  </si>
  <si>
    <t>10.1002/art.1780351014</t>
  </si>
  <si>
    <t>Sterile inflammation of endothelial cell-derived apoptotic bodies is mediated by interleukin-1α</t>
  </si>
  <si>
    <t>Berda-Haddad Y, Robert S, Salers P, Zekraoui L, Farnarier C, Dinarello CA, Dignat-George F, Kaplanski G.</t>
  </si>
  <si>
    <t>Proc Natl Acad Sci U S A. 2011 Dec 20;108(51):20684-9. doi: 10.1073/pnas.1116848108. Epub 2011 Dec 5.</t>
  </si>
  <si>
    <t>Berda-Haddad Y</t>
  </si>
  <si>
    <t>PMC3251090</t>
  </si>
  <si>
    <t>10.1073/pnas.1116848108</t>
  </si>
  <si>
    <t>Dinh TK, Fendler W, Chałubińska-Fendler J, Acharya SS, O'Leary C, Deraska PV, D'Andrea AD, Chowdhury D, Kozono D.</t>
  </si>
  <si>
    <t>Radiat Oncol. 2016 Apr 27;11:61. doi: 10.1186/s13014-016-0636-4.</t>
  </si>
  <si>
    <t>Dinh TK</t>
  </si>
  <si>
    <t>Radiat Oncol</t>
  </si>
  <si>
    <t>PMC4847218</t>
  </si>
  <si>
    <t>Hyaluronan export through plasma membranes depends on concurrent K+ efflux by K(ir) channels</t>
  </si>
  <si>
    <t>Hagenfeld D, Borkenhagen B, Schulz T, Schillers H, Schumacher U, Prehm P.</t>
  </si>
  <si>
    <t>PLoS One. 2012;7(6):e39096. doi: 10.1371/journal.pone.0039096. Epub 2012 Jun 11.</t>
  </si>
  <si>
    <t>Hagenfeld D</t>
  </si>
  <si>
    <t>PMC3372488</t>
  </si>
  <si>
    <t>10.1371/journal.pone.0039096</t>
  </si>
  <si>
    <t>Sensitive, Highly Stable, and Anti-Fouling Electrode with Hexanethiol and Poly-A Modification for Exosomal microRNA Detection</t>
  </si>
  <si>
    <t>Chen G, Chen W, Xu L, Jin H, Sun W, Lan J, Wu F, Zhang X, Zhang J, Chen J.</t>
  </si>
  <si>
    <t>Anal Chem. 2022 Apr 5;94(13):5382-5391. doi: 10.1021/acs.analchem.2c00069. Epub 2022 Mar 24.</t>
  </si>
  <si>
    <t>Chen G</t>
  </si>
  <si>
    <t>10.1021/acs.analchem.2c00069</t>
  </si>
  <si>
    <t>Improved TGIRT-seq methods for comprehensive transcriptome profiling with decreased adapter dimer formation and bias correction</t>
  </si>
  <si>
    <t>Xu H, Yao J, Wu DC, Lambowitz AM.</t>
  </si>
  <si>
    <t>Sci Rep. 2019 May 28;9(1):7953. doi: 10.1038/s41598-019-44457-z.</t>
  </si>
  <si>
    <t>PMC6538698</t>
  </si>
  <si>
    <t>10.1038/s41598-019-44457-z</t>
  </si>
  <si>
    <t>Cai J, Han Y, Ren H, Chen C, He D, Zhou L, Eisner GM, Asico LD, Jose PA, Zeng C.</t>
  </si>
  <si>
    <t>J Mol Cell Biol. 2013 Aug;5(4):227-38. doi: 10.1093/jmcb/mjt011. Epub 2013 Apr 11.</t>
  </si>
  <si>
    <t>Cai J</t>
  </si>
  <si>
    <t>J Mol Cell Biol</t>
  </si>
  <si>
    <t>PMC3733418</t>
  </si>
  <si>
    <t>Yamada H, Yatsushiro S, Yamamoto A, Hayashi M, Nishi T, Futai M, Yamaguchi A, Moriyama Y.</t>
  </si>
  <si>
    <t>J Neurochem. 1997 Oct;69(4):1491-8. doi: 10.1046/j.1471-4159.1997.69041491.x.</t>
  </si>
  <si>
    <t>Yamada H</t>
  </si>
  <si>
    <t>10.1046/j.1471-4159.1997.69041491.x</t>
  </si>
  <si>
    <t>In silico identification of plant miRNAs in mammalian breast milk exosomes--a small step forward?</t>
  </si>
  <si>
    <t>Lukasik A, Zielenkiewicz P.</t>
  </si>
  <si>
    <t>PLoS One. 2014 Jun 16;9(6):e99963. doi: 10.1371/journal.pone.0099963. eCollection 2014.</t>
  </si>
  <si>
    <t>Lukasik A</t>
  </si>
  <si>
    <t>PMC4059707</t>
  </si>
  <si>
    <t>10.1371/journal.pone.0099963</t>
  </si>
  <si>
    <t>Exosome release of ADAM15 and the functional implications of human macrophage-derived ADAM15 exosomes</t>
  </si>
  <si>
    <t>Lee HD, Koo BH, Kim YH, Jeon OH, Kim DS.</t>
  </si>
  <si>
    <t>FASEB J. 2012 Jul;26(7):3084-95. doi: 10.1096/fj.11-201681. Epub 2012 Apr 13.</t>
  </si>
  <si>
    <t>Lee HD</t>
  </si>
  <si>
    <t>10.1096/fj.11-201681</t>
  </si>
  <si>
    <t>Consistent high concentration of the viral microRNA BART17 in plasma samples from nasopharyngeal carcinoma patients--evidence of non-exosomal transport</t>
  </si>
  <si>
    <t>Gourzones C, Ferrand FR, Amiel C, Vérillaud B, Barat A, Guérin M, Gattolliat CH, Gelin A, Klibi J, Chaaben AB, Schneider V, Guemira F, Guigay J, Lang P, Jimenez-Pailhes AS, Busson P.</t>
  </si>
  <si>
    <t>Virol J. 2013 Apr 16;10:119. doi: 10.1186/1743-422X-10-119.</t>
  </si>
  <si>
    <t>Gourzones C</t>
  </si>
  <si>
    <t>PMC3685608</t>
  </si>
  <si>
    <t>Yang Q, Wei B, Peng C, Wang L, Li C.</t>
  </si>
  <si>
    <t>Curr Res Transl Med. 2022 Jan;70(1):103315. doi: 10.1016/j.retram.2021.103315. Epub 2021 Nov 24.</t>
  </si>
  <si>
    <t>Yang Q</t>
  </si>
  <si>
    <t>Curr Res Transl Med</t>
  </si>
  <si>
    <t>Wang H, Zeng J, Huang J, Cheng H, Chen B, Hu X, He X, Zhou Y, Wang K.</t>
  </si>
  <si>
    <t>Angew Chem Int Ed Engl. 2022 May 2;61(19):e202116932. doi: 10.1002/anie.202116932. Epub 2022 Mar 11.</t>
  </si>
  <si>
    <t>Wang H</t>
  </si>
  <si>
    <t>Angew Chem Int Ed Engl</t>
  </si>
  <si>
    <t>Traumatic Brain Injury-Induced Acute Lung Injury: Evidence for Activation and Inhibition of a Neural-Respiratory-Inflammasome Axis</t>
  </si>
  <si>
    <t>Kerr NA, de Rivero Vaccari JP, Abbassi S, Kaur H, Zambrano R, Wu S, Dietrich WD, Keane RW.</t>
  </si>
  <si>
    <t>J Neurotrauma. 2018 Sep 1;35(17):2067-2076. doi: 10.1089/neu.2017.5430. Epub 2018 Jun 8.</t>
  </si>
  <si>
    <t>Kerr NA</t>
  </si>
  <si>
    <t>J Neurotrauma</t>
  </si>
  <si>
    <t>PMC6098413</t>
  </si>
  <si>
    <t>10.1089/neu.2017.5430</t>
  </si>
  <si>
    <t>Odontoblast differentiation of human dental pulp cells in explant cultures</t>
  </si>
  <si>
    <t>Couble ML, Farges JC, Bleicher F, Perrat-Mabillon B, Boudeulle M, Magloire H.</t>
  </si>
  <si>
    <t>Calcif Tissue Int. 2000 Feb;66(2):129-38. doi: 10.1007/pl00005833.</t>
  </si>
  <si>
    <t>Couble ML</t>
  </si>
  <si>
    <t>Calcif Tissue Int</t>
  </si>
  <si>
    <t>10.1007/pl00005833</t>
  </si>
  <si>
    <t>Plasma membrane association of cathepsin B in human prostate cancer: biochemical and immunogold electron microscopic analysis</t>
  </si>
  <si>
    <t>Sinha AA, Jamuar MP, Wilson MJ, Rozhin J, Sloane BF.</t>
  </si>
  <si>
    <t>Prostate. 2001 Nov 1;49(3):172-84. doi: 10.1002/pros.1132.</t>
  </si>
  <si>
    <t>Sinha AA</t>
  </si>
  <si>
    <t>Latent transforming growth factor-beta is produced by chondrocytes and activated by extracellular matrix vesicles upon exposure to 1,25-(OH)2D3</t>
  </si>
  <si>
    <t>Boyan BD, Schwartz Z, Park-Snyder S, Dean DD, Yang F, Twardzik D, Bonewald LF.</t>
  </si>
  <si>
    <t>J Biol Chem. 1994 Nov 11;269(45):28374-81.</t>
  </si>
  <si>
    <t>Boyan BD</t>
  </si>
  <si>
    <t>APE1 shRNA-loaded cancer stem cell-derived extracellular vesicles reverse Erlotinib resistance in non-small cell lung cancer via the IL-6/STAT3 signalling</t>
  </si>
  <si>
    <t>Tang CH, Qin L, Gao YC, Chen TY, Xu K, Liu T, Ren T.</t>
  </si>
  <si>
    <t>Clin Transl Med. 2022 May;12(5):e876. doi: 10.1002/ctm2.876.</t>
  </si>
  <si>
    <t>Tang CH</t>
  </si>
  <si>
    <t>Clin Transl Med</t>
  </si>
  <si>
    <t>PMC9126360</t>
  </si>
  <si>
    <t>10.1002/ctm2.876</t>
  </si>
  <si>
    <t>Parvovirus B19V Nonstructural Protein NS1 Induces Double-Stranded Deoxyribonucleic Acid Autoantibodies and End-Organ Damage in Nonautoimmune Mice</t>
  </si>
  <si>
    <t>Puttaraksa K, Pirttinen H, Karvonen K, Nykky J, Naides SJ, Gilbert L.</t>
  </si>
  <si>
    <t>J Infect Dis. 2019 Apr 16;219(9):1418-1429. doi: 10.1093/infdis/jiy614.</t>
  </si>
  <si>
    <t>Puttaraksa K</t>
  </si>
  <si>
    <t>PMC6468957</t>
  </si>
  <si>
    <t>10.1093/infdis/jiy614</t>
  </si>
  <si>
    <t>Increased levels of circulating microparticles in primary Sjögren's syndrome, systemic lupus erythematosus and rheumatoid arthritis and relation with disease activity</t>
  </si>
  <si>
    <t>Sellam J, Proulle V, Jüngel A, Ittah M, Miceli Richard C, Gottenberg JE, Toti F, Benessiano J, Gay S, Freyssinet JM, Mariette X.</t>
  </si>
  <si>
    <t>Arthritis Res Ther. 2009;11(5):R156. doi: 10.1186/ar2833. Epub 2009 Oct 15.</t>
  </si>
  <si>
    <t>Sellam J</t>
  </si>
  <si>
    <t>PMC2787287</t>
  </si>
  <si>
    <t>10.1186/ar2833</t>
  </si>
  <si>
    <t>Diabetic nephropathy induces changes in the proteome of human urinary exosomes as revealed by label-free comparative analysis</t>
  </si>
  <si>
    <t>Zubiri I, Posada-Ayala M, Sanz-Maroto A, Calvo E, Martin-Lorenzo M, Gonzalez-Calero L, de la Cuesta F, Lopez JA, Fernandez-Fernandez B, Ortiz A, Vivanco F, Alvarez-Llamas G.</t>
  </si>
  <si>
    <t>J Proteomics. 2014 Jan 16;96:92-102. doi: 10.1016/j.jprot.2013.10.037. Epub 2013 Nov 7.</t>
  </si>
  <si>
    <t>Zubiri I</t>
  </si>
  <si>
    <t>J Proteomics</t>
  </si>
  <si>
    <t>10.1016/j.jprot.2013.10.037</t>
  </si>
  <si>
    <t>Microparticles and microscopic structures in three fractions of fresh cerebrospinal fluid in schizophrenia: case report of twins</t>
  </si>
  <si>
    <t>Mobarrez F, Nybom R, Johansson V, Hultman CM, Wallén H, Landén M, Wetterberg L.</t>
  </si>
  <si>
    <t>Schizophr Res. 2013 Jan;143(1):192-7. doi: 10.1016/j.schres.2012.10.030. Epub 2012 Nov 20.</t>
  </si>
  <si>
    <t>Mobarrez F</t>
  </si>
  <si>
    <t>Schizophr Res</t>
  </si>
  <si>
    <t>10.1016/j.schres.2012.10.030</t>
  </si>
  <si>
    <t>Thyroid organoid formation in simulated microgravity: influence of keratinocyte growth factor</t>
  </si>
  <si>
    <t>Martin A, Zhou A, Gordon RE, Henderson SC, Schwartz AE, Schwartz AE, Friedman EW, Davies TF.</t>
  </si>
  <si>
    <t>Thyroid. 2000 Jun;10(6):481-7. doi: 10.1089/thy.2000.10.481.</t>
  </si>
  <si>
    <t>Martin A</t>
  </si>
  <si>
    <t>Thyroid</t>
  </si>
  <si>
    <t>A bell-shaped pattern of urinary aquaporin-2-bearing extracellular vesicle release in an experimental model of nephronophthisis</t>
  </si>
  <si>
    <t>Mikoda N, Sonoda H, Oshikawa S, Hoshino Y, Matsuzaki T, Ikeda M.</t>
  </si>
  <si>
    <t>Physiol Rep. 2019 May;7(9):e14092. doi: 10.14814/phy2.14092.</t>
  </si>
  <si>
    <t>Mikoda N</t>
  </si>
  <si>
    <t>Physiol Rep</t>
  </si>
  <si>
    <t>PMC6509436</t>
  </si>
  <si>
    <t>10.14814/phy2.14092</t>
  </si>
  <si>
    <t>Stimulated human mast cells secrete mitochondrial components that have autocrine and paracrine inflammatory actions</t>
  </si>
  <si>
    <t>Zhang B, Asadi S, Weng Z, Sismanopoulos N, Theoharides TC.</t>
  </si>
  <si>
    <t>PLoS One. 2012;7(12):e49767. doi: 10.1371/journal.pone.0049767. Epub 2012 Dec 17.</t>
  </si>
  <si>
    <t>Zhang B</t>
  </si>
  <si>
    <t>PMC3524249</t>
  </si>
  <si>
    <t>10.1371/journal.pone.0049767</t>
  </si>
  <si>
    <t>LncRNA: a new player in 1α, 25(OH)(2) vitamin D(3) /VDR protection against skin cancer formation</t>
  </si>
  <si>
    <t>Jiang YJ, Bikle DD.</t>
  </si>
  <si>
    <t>Exp Dermatol. 2014 Mar;23(3):147-50. doi: 10.1111/exd.12341.</t>
  </si>
  <si>
    <t>Jiang YJ</t>
  </si>
  <si>
    <t>Exp Dermatol</t>
  </si>
  <si>
    <t>PMC4103949</t>
  </si>
  <si>
    <t>NIHMS601830</t>
  </si>
  <si>
    <t>Garnier Y, Claude L, Hermand P, Sachou E, Claes A, Desplan K, Chahim B, Roger PM, Martino F, Colin Y, Le Van Kim C, Baccini V, Romana M.</t>
  </si>
  <si>
    <t>Br J Haematol. 2022 Mar;196(5):1159-1169. doi: 10.1111/bjh.18019. Epub 2022 Jan 6.</t>
  </si>
  <si>
    <t>Garnier Y</t>
  </si>
  <si>
    <t>Br J Haematol</t>
  </si>
  <si>
    <t>Involvement of Elf3 on Smad3 activation-dependent injuries in podocytes and excretion of urinary exosome in diabetic nephropathy</t>
  </si>
  <si>
    <t>Sakurai A, Ono H, Ochi A, Matsuura M, Yoshimoto S, Kishi S, Murakami T, Tominaga T, Nagai K, Abe H, Doi T.</t>
  </si>
  <si>
    <t>PLoS One. 2019 May 31;14(5):e0216788. doi: 10.1371/journal.pone.0216788. eCollection 2019.</t>
  </si>
  <si>
    <t>Sakurai A</t>
  </si>
  <si>
    <t>PMC6544199</t>
  </si>
  <si>
    <t>10.1371/journal.pone.0216788</t>
  </si>
  <si>
    <t>Effects of an acute exercise bout in hypoxia on extracellular vesicle release in healthy and prediabetic subjects</t>
  </si>
  <si>
    <t>Warnier G, De Groote E, Britto FA, Delcorte O, Nederveen JP, Nilsson MI, Pierreux CE, Tarnopolsky MA, Deldicque L.</t>
  </si>
  <si>
    <t>Am J Physiol Regul Integr Comp Physiol. 2022 Feb 1;322(2):R112-R122. doi: 10.1152/ajpregu.00220.2021. Epub 2021 Dec 15.</t>
  </si>
  <si>
    <t>Warnier G</t>
  </si>
  <si>
    <t>Am J Physiol Regul Integr Comp Physiol</t>
  </si>
  <si>
    <t>10.1152/ajpregu.00220.2021</t>
  </si>
  <si>
    <t>Molecular and cellular mechanisms underlying neural tube defects in the loop-tail mutant mouse</t>
  </si>
  <si>
    <t>Gravel M, Iliescu A, Horth C, Apuzzo S, Gros P.</t>
  </si>
  <si>
    <t>Biochemistry. 2010 Apr 27;49(16):3445-55. doi: 10.1021/bi902180m.</t>
  </si>
  <si>
    <t>Gravel M</t>
  </si>
  <si>
    <t>Biochemistry</t>
  </si>
  <si>
    <t>10.1021/bi902180m</t>
  </si>
  <si>
    <t>Analysis of the specificity of anti-PM-Scl autoantibodies</t>
  </si>
  <si>
    <t>Ge Q, Wu Y, Trieu EP, Targoff IN.</t>
  </si>
  <si>
    <t>Arthritis Rheum. 1994 Oct;37(10):1445-52. doi: 10.1002/art.1780371007.</t>
  </si>
  <si>
    <t>Ge Q</t>
  </si>
  <si>
    <t>10.1002/art.1780371007</t>
  </si>
  <si>
    <t>Björn E, Nygren Y, Nguyen TT, Ericson C, Nöjd M, Naredi P.</t>
  </si>
  <si>
    <t>Anal Biochem. 2007 Apr 1;363(1):135-42. doi: 10.1016/j.ab.2007.01.006. Epub 2007 Jan 10.</t>
  </si>
  <si>
    <t>Björn E</t>
  </si>
  <si>
    <t>Anal Biochem</t>
  </si>
  <si>
    <t>A-ring analogues of 1, 25-(OH)2D3 with low affinity for the vitamin D receptor modulate chondrocytes via membrane effects that are dependent on cell maturation</t>
  </si>
  <si>
    <t>Greising DM, Schwartz Z, Posner GH, Sylvia VL, Dean DD, Boyan BD.</t>
  </si>
  <si>
    <t>J Cell Physiol. 1997 Jun;171(3):357-67. doi: 10.1002/(SICI)1097-4652(199706)171:3&lt;357::AID-JCP14&gt;3.0.CO;2-7.</t>
  </si>
  <si>
    <t>Greising DM</t>
  </si>
  <si>
    <t>10.1002/(SICI)1097-4652(199706)171:3&lt;357::AID-JCP14&gt;3.0.CO;2-7</t>
  </si>
  <si>
    <t>Identification and characterization of rain, a novel Ras-interacting protein with a unique subcellular localization</t>
  </si>
  <si>
    <t>Mitin NY, Ramocki MB, Zullo AJ, Der CJ, Konieczny SF, Taparowsky EJ.</t>
  </si>
  <si>
    <t>J Biol Chem. 2004 May 21;279(21):22353-61. doi: 10.1074/jbc.M312867200. Epub 2004 Mar 18.</t>
  </si>
  <si>
    <t>Mitin NY</t>
  </si>
  <si>
    <t>10.1074/jbc.M312867200</t>
  </si>
  <si>
    <t>Selection of the highly replicative and partially multidrug resistant rtS78T HBV polymerase mutation during TDF-ETV combination therapy</t>
  </si>
  <si>
    <t>Shirvani-Dastgerdi E, Winer BY, Celià-Terrassa T, Kang Y, Tabernero D, Yagmur E, Rodríguez-Frías F, Gregori J, Luedde T, Trautwein C, Ploss A, Tacke F.</t>
  </si>
  <si>
    <t>J Hepatol. 2017 Aug;67(2):246-254. doi: 10.1016/j.jhep.2017.03.027. Epub 2017 Apr 7.</t>
  </si>
  <si>
    <t>Shirvani-Dastgerdi E</t>
  </si>
  <si>
    <t>J Hepatol</t>
  </si>
  <si>
    <t>PMC6016549</t>
  </si>
  <si>
    <t>NIHMS970414</t>
  </si>
  <si>
    <t>10.1016/j.jhep.2017.03.027</t>
  </si>
  <si>
    <t>Epididymal specific, selenium-independent GPX5 protects cells from oxidative stress-induced lipid peroxidation and DNA mutation</t>
  </si>
  <si>
    <t>Taylor A, Robson A, Houghton BC, Jepson CA, Ford WC, Frayne J.</t>
  </si>
  <si>
    <t>Hum Reprod. 2013 Sep;28(9):2332-42. doi: 10.1093/humrep/det237. Epub 2013 May 21.</t>
  </si>
  <si>
    <t>Taylor A</t>
  </si>
  <si>
    <t>Hum Reprod</t>
  </si>
  <si>
    <t>10.1093/humrep/det237</t>
  </si>
  <si>
    <t>Childhood onset systemic sclerosis: classification, clinical and serologic features, and survival in comparison with adult onset disease</t>
  </si>
  <si>
    <t>Scalapino K, Arkachaisri T, Lucas M, Fertig N, Helfrich DJ, Londino AV Jr, Steen VD, Medsger TA Jr.</t>
  </si>
  <si>
    <t>J Rheumatol. 2006 May;33(5):1004-13. Epub 2006 Apr 1.</t>
  </si>
  <si>
    <t>Scalapino K</t>
  </si>
  <si>
    <t>J Rheumatol</t>
  </si>
  <si>
    <t>Extracellular vesicle microRNA in early versus late pregnancy with birth outcomes in the MADRES study</t>
  </si>
  <si>
    <t>Howe CG, Foley HB, Kennedy EM, Eckel SP, Chavez TA, Faham D, Grubbs BH, Al-Marayati L, Lerner D, Suglia S, Bastain TM, Marsit CJ, Breton CV.</t>
  </si>
  <si>
    <t>Epigenetics. 2022 Mar;17(3):269-285. doi: 10.1080/15592294.2021.1899887. Epub 2021 Mar 18.</t>
  </si>
  <si>
    <t>Howe CG</t>
  </si>
  <si>
    <t>Epigenetics</t>
  </si>
  <si>
    <t>PMC8920187</t>
  </si>
  <si>
    <t>10.1080/15592294.2021.1899887</t>
  </si>
  <si>
    <t>Myosin Va enhances secretion of herpes simplex virus 1 virions and cell surface expression of viral glycoproteins</t>
  </si>
  <si>
    <t>Roberts KL, Baines JD.</t>
  </si>
  <si>
    <t>J Virol. 2010 Oct;84(19):9889-96. doi: 10.1128/JVI.00732-10. Epub 2010 Jul 14.</t>
  </si>
  <si>
    <t>Roberts KL</t>
  </si>
  <si>
    <t>J Virol</t>
  </si>
  <si>
    <t>PMC2937760</t>
  </si>
  <si>
    <t>10.1128/JVI.00732-10</t>
  </si>
  <si>
    <t>Heterologous transmembrane and cytoplasmic domains direct functional chimeric influenza virus hemagglutinins into the endocytic pathway</t>
  </si>
  <si>
    <t>Roth MG, Doyle C, Sambrook J, Gething MJ.</t>
  </si>
  <si>
    <t>J Cell Biol. 1986 Apr;102(4):1271-83. doi: 10.1083/jcb.102.4.1271.</t>
  </si>
  <si>
    <t>Roth MG</t>
  </si>
  <si>
    <t>J Cell Biol</t>
  </si>
  <si>
    <t>PMC2114161</t>
  </si>
  <si>
    <t>10.1083/jcb.102.4.1271</t>
  </si>
  <si>
    <t>Plasma antibodies from humans infected with zoonotic simian foamy virus do not inhibit cell-to-cell transmission of the virus despite binding to the surface of infected cells</t>
  </si>
  <si>
    <t>Couteaudier M, Montange T, Njouom R, Bilounga-Ndongo C, Gessain A, Buseyne F.</t>
  </si>
  <si>
    <t>PLoS Pathog. 2022 May 23;18(5):e1010470. doi: 10.1371/journal.ppat.1010470. eCollection 2022 May.</t>
  </si>
  <si>
    <t>Couteaudier M</t>
  </si>
  <si>
    <t>PMC9166401</t>
  </si>
  <si>
    <t>10.1371/journal.ppat.1010470</t>
  </si>
  <si>
    <t>Human embryonic mesenchymal stem cell-derived conditioned medium rescues kidney function in rats with established chronic kidney disease</t>
  </si>
  <si>
    <t>van Koppen A, Joles JA, van Balkom BW, Lim SK, de Kleijn D, Giles RH, Verhaar MC.</t>
  </si>
  <si>
    <t>PLoS One. 2012;7(6):e38746. doi: 10.1371/journal.pone.0038746. Epub 2012 Jun 19.</t>
  </si>
  <si>
    <t>van Koppen A</t>
  </si>
  <si>
    <t>PMC3378606</t>
  </si>
  <si>
    <t>Increased IgG on cell-derived plasma microparticles in systemic lupus erythematosus is associated with autoantibodies and complement activation</t>
  </si>
  <si>
    <t>Nielsen CT, Østergaard O, Stener L, Iversen LV, Truedsson L, Gullstrand B, Jacobsen S, Heegaard NH.</t>
  </si>
  <si>
    <t>Arthritis Rheum. 2012 Apr;64(4):1227-36. doi: 10.1002/art.34381. Epub 2012 Jan 11.</t>
  </si>
  <si>
    <t>Nielsen CT</t>
  </si>
  <si>
    <t>10.1002/art.34381</t>
  </si>
  <si>
    <t>Contributions of glycosaminoglycan binding and clustering to the biological uptake of the nonamphipathic cell-penetrating peptide WR9</t>
  </si>
  <si>
    <t>Ziegler A, Seelig J.</t>
  </si>
  <si>
    <t>Biochemistry. 2011 May 31;50(21):4650-64. doi: 10.1021/bi1019429. Epub 2011 May 3.</t>
  </si>
  <si>
    <t>Ziegler A</t>
  </si>
  <si>
    <t>Baker LA, Lee KC, Palacios Jimenez C, Alibhai H, Chang YM, Leckie PJ, Mookerjee RP, Davies NA, Andreola F, Jalan R.</t>
  </si>
  <si>
    <t>PLoS One. 2015 May 27;10(5):e0128076. doi: 10.1371/journal.pone.0128076. eCollection 2015.</t>
  </si>
  <si>
    <t>Baker LA</t>
  </si>
  <si>
    <t>PMC4446266</t>
  </si>
  <si>
    <t>Circulating Exosomal microRNAs as Predictive Biomarkers of Neoadjuvant Chemotherapy Response in Breast Cancer</t>
  </si>
  <si>
    <t>Todorova VK, Byrum SD, Gies AJ, Haynie C, Smith H, Reyna NS, Makhoul I.</t>
  </si>
  <si>
    <t>Curr Oncol. 2022 Jan 28;29(2):613-630. doi: 10.3390/curroncol29020055.</t>
  </si>
  <si>
    <t>Todorova VK</t>
  </si>
  <si>
    <t>Curr Oncol</t>
  </si>
  <si>
    <t>PMC8870357</t>
  </si>
  <si>
    <t>10.3390/curroncol29020055</t>
  </si>
  <si>
    <t>Functional analysis and intracellular localization of the human menkes protein (MNK) stably expressed from a cDNA construct in Chinese hamster ovary cells (CHO-K1)</t>
  </si>
  <si>
    <t>La Fontaine S, Firth SD, Lockhart PJ, Brooks H, Parton RG, Camakaris J, Mercer JF.</t>
  </si>
  <si>
    <t>Hum Mol Genet. 1998 Aug;7(8):1293-300. doi: 10.1093/hmg/7.8.1293.</t>
  </si>
  <si>
    <t>La Fontaine S</t>
  </si>
  <si>
    <t>Hum Mol Genet</t>
  </si>
  <si>
    <t>10.1093/hmg/7.8.1293</t>
  </si>
  <si>
    <t>Cheng S, Kong Q, Hu X, Zhang C, Xian Y.</t>
  </si>
  <si>
    <t>Anal Chem. 2022 Jan 18;94(2):1085-1091. doi: 10.1021/acs.analchem.1c04122. Epub 2022 Jan 4.</t>
  </si>
  <si>
    <t>Cheng S</t>
  </si>
  <si>
    <t>Tandem affinity purification of exosome and replication factor C complexes from the non-human infectious kinetoplastid parasite Crithidia fasciculata</t>
  </si>
  <si>
    <t>Kipandula W, Smith TK, MacNeill SA.</t>
  </si>
  <si>
    <t>Mol Biochem Parasitol. 2017 Oct;217:19-22. doi: 10.1016/j.molbiopara.2017.08.004. Epub 2017 Aug 24.</t>
  </si>
  <si>
    <t>Kipandula W</t>
  </si>
  <si>
    <t>Mol Biochem Parasitol</t>
  </si>
  <si>
    <t>10.1016/j.molbiopara.2017.08.004</t>
  </si>
  <si>
    <t>Fan W, Han P, Feng Q, Sun Y, Ren W, Lawson T, Liu C.</t>
  </si>
  <si>
    <t>Anal Chem. 2022 Feb 1;94(4):2172-2179. doi: 10.1021/acs.analchem.1c04636. Epub 2022 Jan 19.</t>
  </si>
  <si>
    <t>Fan W</t>
  </si>
  <si>
    <t>The spacer peptide between human immunodeficiency virus capsid and nucleocapsid proteins is essential for ordered assembly and viral infectivity</t>
  </si>
  <si>
    <t>Kräusslich HG, Fäcke M, Heuser AM, Konvalinka J, Zentgraf H.</t>
  </si>
  <si>
    <t>J Virol. 1995 Jun;69(6):3407-19. doi: 10.1128/JVI.69.6.3407-3419.1995.</t>
  </si>
  <si>
    <t>Kräusslich HG</t>
  </si>
  <si>
    <t>PMC189053</t>
  </si>
  <si>
    <t>10.1128/JVI.69.6.3407-3419.1995</t>
  </si>
  <si>
    <t>Interpretation of an Extended Autoantibody Profile in a Well-Characterized Australian Systemic Sclerosis (Scleroderma) Cohort Using Principal Components Analysis</t>
  </si>
  <si>
    <t>Patterson KA, Roberts-Thomson PJ, Lester S, Tan JA, Hakendorf P, Rischmueller M, Zochling J, Sahhar J, Nash P, Roddy J, Hill C, Nikpour M, Stevens W, Proudman SM, Walker JG.</t>
  </si>
  <si>
    <t>Arthritis Rheumatol. 2015 Dec;67(12):3234-44. doi: 10.1002/art.39316.</t>
  </si>
  <si>
    <t>Patterson KA</t>
  </si>
  <si>
    <t>10.1002/art.39316</t>
  </si>
  <si>
    <t>Identification and characterization of a novel isoform of the vesicular gamma-aminobutyric acid transporter with glucose-regulated expression in rat islets</t>
  </si>
  <si>
    <t>Suckow AT, Sweet IR, Van Yserloo B, Rutledge EA, Hall TR, Waldrop M, Chessler SD.</t>
  </si>
  <si>
    <t>J Mol Endocrinol. 2006 Feb;36(1):187-99. doi: 10.1677/jme.1.01866.</t>
  </si>
  <si>
    <t>Suckow AT</t>
  </si>
  <si>
    <t>J Mol Endocrinol</t>
  </si>
  <si>
    <t>10.1677/jme.1.01866</t>
  </si>
  <si>
    <t>Simultaneous Detection of Bladder Cancer Exosomal MicroRNAs Based on Inorganic Nanoflare and DNAzyme Walker</t>
  </si>
  <si>
    <t>Zhang X, Wei X, Qi J, Shen J, Xu J, Gong G, Wei Y, Yang J, Zhu Q, Bai T, Guo Z, Qu X, Zhu Y.</t>
  </si>
  <si>
    <t>Anal Chem. 2022 Mar 22;94(11):4787-4793. doi: 10.1021/acs.analchem.1c05588. Epub 2022 Mar 11.</t>
  </si>
  <si>
    <t>Zhang X</t>
  </si>
  <si>
    <t>10.1021/acs.analchem.1c05588</t>
  </si>
  <si>
    <t>Subcellular distribution and life cycle of Epstein-Barr virus in keratinocytes of oral hairy leukoplakia</t>
  </si>
  <si>
    <t>Rabanus JP, Greenspan D, Petersen V, Leser U, Wolf H, Greenspan JS.</t>
  </si>
  <si>
    <t>Am J Pathol. 1991 Jul;139(1):185-97.</t>
  </si>
  <si>
    <t>Rabanus JP</t>
  </si>
  <si>
    <t>PMC1886136</t>
  </si>
  <si>
    <t>Johnson K, Hashimoto S, Lotz M, Pritzker K, Goding J, Terkeltaub R.</t>
  </si>
  <si>
    <t>Arthritis Rheum. 2001 May;44(5):1071-81. doi: 10.1002/1529-0131(200105)44:5&lt;1071::AID-ANR187&gt;3.0.CO;2-3.</t>
  </si>
  <si>
    <t>Johnson K</t>
  </si>
  <si>
    <t>10.1002/1529-0131(200105)44:5&lt;1071::AID-ANR187&gt;3.0.CO;2-3</t>
  </si>
  <si>
    <t>In situ localization and in vitro induction of plant COPI-coated vesicles</t>
  </si>
  <si>
    <t>Pimpl P, Movafeghi A, Coughlan S, Denecke J, Hillmer S, Robinson DG.</t>
  </si>
  <si>
    <t>Plant Cell. 2000 Nov;12(11):2219-36. doi: 10.1105/tpc.12.11.2219.</t>
  </si>
  <si>
    <t>Pimpl P</t>
  </si>
  <si>
    <t>Plant Cell</t>
  </si>
  <si>
    <t>PMC150169</t>
  </si>
  <si>
    <t>10.1105/tpc.12.11.2219</t>
  </si>
  <si>
    <t>Visualization of gap junction mobility in living cells</t>
  </si>
  <si>
    <t>Windoffer R, Beile B, Leibold A, Thomas S, Wilhelm U, Leube RE.</t>
  </si>
  <si>
    <t>Cell Tissue Res. 2000 Mar;299(3):347-62. doi: 10.1007/s004419900162.</t>
  </si>
  <si>
    <t>Windoffer R</t>
  </si>
  <si>
    <t>Cell Tissue Res</t>
  </si>
  <si>
    <t>10.1007/s004419900162</t>
  </si>
  <si>
    <t>Ermap, a gene coding for a novel erythroid specific adhesion/receptor membrane protein</t>
  </si>
  <si>
    <t>Ye TZ, Gordon CT, Lai YH, Fujiwara Y, Peters LL, Perkins AC, Chui DH.</t>
  </si>
  <si>
    <t>Gene. 2000 Jan 25;242(1-2):337-45. doi: 10.1016/s0378-1119(99)00516-8.</t>
  </si>
  <si>
    <t>Ye TZ</t>
  </si>
  <si>
    <t>Gene</t>
  </si>
  <si>
    <t>10.1016/s0378-1119(99)00516-8</t>
  </si>
  <si>
    <t>Cloning of a complementary DNA coding for the 100-kD antigenic protein of the PM-Scl autoantigen</t>
  </si>
  <si>
    <t>Ge Q, Frank MB, O'Brien C, Targoff IN.</t>
  </si>
  <si>
    <t>J Clin Invest. 1992 Aug;90(2):559-70. doi: 10.1172/JCI115895.</t>
  </si>
  <si>
    <t>PMC443135</t>
  </si>
  <si>
    <t>10.1172/JCI115895</t>
  </si>
  <si>
    <t>Regulation of global gene expression in the bone marrow microenvironment by androgen: androgen ablation increases insulin-like growth factor binding protein-5 expression</t>
  </si>
  <si>
    <t>Xu C, Graf LF, Fazli L, Coleman IM, Mauldin DE, Li D, Nelson PS, Gleave M, Plymate SR, Cox ME, Torok-Storb BJ, Knudsen BS.</t>
  </si>
  <si>
    <t>Prostate. 2007 Nov 1;67(15):1621-9. doi: 10.1002/pros.20655.</t>
  </si>
  <si>
    <t>Xu C</t>
  </si>
  <si>
    <t>10.1002/pros.20655</t>
  </si>
  <si>
    <t>The extravesicular domain of synaptotagmin-1 is released with the latent fibroblast growth factor-1 homodimer in response to heat shock</t>
  </si>
  <si>
    <t>Tarantini F, LaVallee T, Jackson A, Gamble S, Mouta Carreira C, Garfinkel S, Burgess WH, Maciag T.</t>
  </si>
  <si>
    <t>J Biol Chem. 1998 Aug 28;273(35):22209-16. doi: 10.1074/jbc.273.35.22209.</t>
  </si>
  <si>
    <t>Tarantini F</t>
  </si>
  <si>
    <t>10.1074/jbc.273.35.22209</t>
  </si>
  <si>
    <t>Kellner-Weibel G, Geng YJ, Rothblat GH.</t>
  </si>
  <si>
    <t>Atherosclerosis. 1999 Oct;146(2):309-19. doi: 10.1016/s0021-9150(99)00155-0.</t>
  </si>
  <si>
    <t>Kellner-Weibel G</t>
  </si>
  <si>
    <t>10.1016/s0021-9150(99)00155-0</t>
  </si>
  <si>
    <t>Epstein-Barr virus latent membrane protein 1 promotes concentration in multivesicular bodies of fibroblast growth factor 2 and its release through exosomes</t>
  </si>
  <si>
    <t>Ceccarelli S, Visco V, Raffa S, Wakisaka N, Pagano JS, Torrisi MR.</t>
  </si>
  <si>
    <t>Int J Cancer. 2007 Oct 1;121(7):1494-506. doi: 10.1002/ijc.22844.</t>
  </si>
  <si>
    <t>Ceccarelli S</t>
  </si>
  <si>
    <t>10.1002/ijc.22844</t>
  </si>
  <si>
    <t>Germline mutations in DIS3L2 cause the Perlman syndrome of overgrowth and Wilms tumor susceptibility</t>
  </si>
  <si>
    <t>Astuti D, Morris MR, Cooper WN, Staals RH, Wake NC, Fews GA, Gill H, Gentle D, Shuib S, Ricketts CJ, Cole T, van Essen AJ, van Lingen RA, Neri G, Opitz JM, Rump P, Stolte-Dijkstra I, Müller F, Pruijn GJ, Latif F, Maher ER.</t>
  </si>
  <si>
    <t>Nat Genet. 2012 Feb 5;44(3):277-84. doi: 10.1038/ng.1071.</t>
  </si>
  <si>
    <t>Astuti D</t>
  </si>
  <si>
    <t>Nat Genet</t>
  </si>
  <si>
    <t>10.1038/ng.1071</t>
  </si>
  <si>
    <t>The cDNA structure and expression analysis of the genes for the cysteine proteinase inhibitor cystatin C and for beta 2-microglobulin in rat brain</t>
  </si>
  <si>
    <t>Cole T, Dickson PW, Esnard F, Averill S, Risbridger GP, Gauthier F, Schreiber G.</t>
  </si>
  <si>
    <t>Eur J Biochem. 1989 Dec 8;186(1-2):35-42. doi: 10.1111/j.1432-1033.1989.tb15174.x.</t>
  </si>
  <si>
    <t>Cole T</t>
  </si>
  <si>
    <t>Eur J Biochem</t>
  </si>
  <si>
    <t>10.1111/j.1432-1033.1989.tb15174.x</t>
  </si>
  <si>
    <t>Mutational analysis demonstrates that ClC-4 and ClC-5 directly mediate plasma membrane currents</t>
  </si>
  <si>
    <t>Friedrich T, Breiderhoff T, Jentsch TJ.</t>
  </si>
  <si>
    <t>J Biol Chem. 1999 Jan 8;274(2):896-902. doi: 10.1074/jbc.274.2.896.</t>
  </si>
  <si>
    <t>Friedrich T</t>
  </si>
  <si>
    <t>10.1074/jbc.274.2.896</t>
  </si>
  <si>
    <t>Stimulation of phosphatidylserine biosynthesis and facilitation of UV-induced apoptosis in Chinese hamster ovary cells overexpressing phospholipid scramblase 1</t>
  </si>
  <si>
    <t>Yu A, McMaster CR, Byers DM, Ridgway ND, Cook HW.</t>
  </si>
  <si>
    <t>J Biol Chem. 2003 Mar 14;278(11):9706-14. doi: 10.1074/jbc.M204614200. Epub 2002 Dec 30.</t>
  </si>
  <si>
    <t>Yu A</t>
  </si>
  <si>
    <t>10.1074/jbc.M204614200</t>
  </si>
  <si>
    <t>The anterograde transport of the human neuropeptide Y2 receptor is regulated by a subtype specific mechanism mediated by the C-terminus</t>
  </si>
  <si>
    <t>Walther C, Lotze J, Beck-Sickinger AG, Mörl K.</t>
  </si>
  <si>
    <t>Neuropeptides. 2012 Dec;46(6):335-43. doi: 10.1016/j.npep.2012.08.011. Epub 2012 Sep 26.</t>
  </si>
  <si>
    <t>Walther C</t>
  </si>
  <si>
    <t>Neuropeptides</t>
  </si>
  <si>
    <t>10.1016/j.npep.2012.08.011</t>
  </si>
  <si>
    <t>Cloning and characterization of a novel insulin-regulated membrane aminopeptidase from Glut4 vesicles</t>
  </si>
  <si>
    <t>Keller SR, Scott HM, Mastick CC, Aebersold R, Lienhard GE.</t>
  </si>
  <si>
    <t>J Biol Chem. 1995 Oct 6;270(40):23612-8. doi: 10.1074/jbc.270.40.23612.</t>
  </si>
  <si>
    <t>Keller SR</t>
  </si>
  <si>
    <t>10.1074/jbc.270.40.23612</t>
  </si>
  <si>
    <t>Apoptotic chondrocytes from osteoarthrotic human articular cartilage and abnormal calcification of subchondral bone</t>
  </si>
  <si>
    <t>Kourí JB, Aguilera JM, Reyes J, Lozoya KA, González S.</t>
  </si>
  <si>
    <t>J Rheumatol. 2000 Apr;27(4):1005-19.</t>
  </si>
  <si>
    <t>Kourí JB</t>
  </si>
  <si>
    <t>Autosomal recessive polycystic kidney disease: characterization of human peritoneal and cystic kidney cells in vitro</t>
  </si>
  <si>
    <t>Hjelle JT, Waters DC, Golinska BT, Steidley KR, Burmeister V, Caughey R, Ketel B, McCarroll DR, Olsson PJ, Prior RB, et al.</t>
  </si>
  <si>
    <t>Am J Kidney Dis. 1990 Feb;15(2):123-36. doi: 10.1016/s0272-6386(12)80509-9.</t>
  </si>
  <si>
    <t>Hjelle JT</t>
  </si>
  <si>
    <t>Am J Kidney Dis</t>
  </si>
  <si>
    <t>10.1016/s0272-6386(12)80509-9</t>
  </si>
  <si>
    <t>Shapiro AB, Ling V.</t>
  </si>
  <si>
    <t>Eur J Biochem. 1998 May 15;254(1):181-8. doi: 10.1046/j.1432-1327.1998.2540181.x.</t>
  </si>
  <si>
    <t>Shapiro AB</t>
  </si>
  <si>
    <t>Vyas GN, Stoddart CA, Killian MS, Brennan TV, Goldberg T, Ziman A, Bryson Y.</t>
  </si>
  <si>
    <t>Biologicals. 2012 Jan;40(1):15-20. doi: 10.1016/j.biologicals.2011.11.005. Epub 2011 Dec 20.</t>
  </si>
  <si>
    <t>Vyas GN</t>
  </si>
  <si>
    <t>Biologicals</t>
  </si>
  <si>
    <t>PMC4861611</t>
  </si>
  <si>
    <t>NIHMS482236</t>
  </si>
  <si>
    <t>A catalytically independent physiological function for human acute phase protein group IIA phospholipase A2: cellular uptake facilitates cell debris removal</t>
  </si>
  <si>
    <t>Birts CN, Barton CH, Wilton DC.</t>
  </si>
  <si>
    <t>J Biol Chem. 2008 Feb 22;283(8):5034-45. doi: 10.1074/jbc.M708844200. Epub 2007 Dec 17.</t>
  </si>
  <si>
    <t>Birts CN</t>
  </si>
  <si>
    <t>Clathrin heavy chain functions in sorting and secretion of lysosomal enzymes in Dictyostelium discoideum</t>
  </si>
  <si>
    <t>Ruscetti T, Cardelli JA, Niswonger ML, O'Halloran TJ.</t>
  </si>
  <si>
    <t>J Cell Biol. 1994 Jul;126(2):343-52. doi: 10.1083/jcb.126.2.343.</t>
  </si>
  <si>
    <t>Ruscetti T</t>
  </si>
  <si>
    <t>PMC2200034</t>
  </si>
  <si>
    <t>10.1083/jcb.126.2.343</t>
  </si>
  <si>
    <t>Identification of a putative surfactant convertase in rat lung as a secreted serine carboxylesterase</t>
  </si>
  <si>
    <t>Barr F, Clark H, Hawgood S.</t>
  </si>
  <si>
    <t>Am J Physiol. 1998 Mar;274(3):L404-10. doi: 10.1152/ajplung.1998.274.3.L404.</t>
  </si>
  <si>
    <t>Barr F</t>
  </si>
  <si>
    <t>Am J Physiol</t>
  </si>
  <si>
    <t>10.1152/ajplung.1998.274.3.L404</t>
  </si>
  <si>
    <t>Membrane vesicles released by Avibacterium paragallinarum contain putative virulence factors</t>
  </si>
  <si>
    <t>Ramón Rocha MO, García-González O, Pérez-Méndez A, Ibarra-Caballero J, Pérez-Márquez VM, Vaca S, Negrete-Abascal E.</t>
  </si>
  <si>
    <t>FEMS Microbiol Lett. 2006 Apr;257(1):63-8. doi: 10.1111/j.1574-6968.2006.00154.x.</t>
  </si>
  <si>
    <t>Ramón Rocha MO</t>
  </si>
  <si>
    <t>FEMS Microbiol Lett</t>
  </si>
  <si>
    <t>10.1111/j.1574-6968.2006.00154.x</t>
  </si>
  <si>
    <t>Homozygosity mapping and whole-exome sequencing to detect SLC45A2 and G6PC3 mutations in a single patient with oculocutaneous albinism and neutropenia</t>
  </si>
  <si>
    <t>Cullinane AR, Vilboux T, O'Brien K, Curry JA, Maynard DM, Carlson-Donohoe H, Ciccone C; NISC Comparative Sequencing Program, Markello TC, Gunay-Aygun M, Huizing M, Gahl WA.</t>
  </si>
  <si>
    <t>J Invest Dermatol. 2011 Oct;131(10):2017-25. doi: 10.1038/jid.2011.157. Epub 2011 Jun 16.</t>
  </si>
  <si>
    <t>Cullinane AR</t>
  </si>
  <si>
    <t>J Invest Dermatol</t>
  </si>
  <si>
    <t>PMC3174312</t>
  </si>
  <si>
    <t>NIHMS293756</t>
  </si>
  <si>
    <t>10.1038/jid.2011.157</t>
  </si>
  <si>
    <t>Tissue factor-containing microparticles released from mesangial cells in response to high glucose and AGE induce tube formation in microvascular cells</t>
  </si>
  <si>
    <t>Ettelaie C, Su S, Li C, Collier ME.</t>
  </si>
  <si>
    <t>Microvasc Res. 2008 Nov;76(3):152-60. doi: 10.1016/j.mvr.2008.07.007. Epub 2008 Aug 5.</t>
  </si>
  <si>
    <t>Ettelaie C</t>
  </si>
  <si>
    <t>Microvasc Res</t>
  </si>
  <si>
    <t>10.1016/j.mvr.2008.07.007</t>
  </si>
  <si>
    <t>Duplication of 10 nucleotides in the erythroid band 3 (AE1) gene in a kindred with hereditary spherocytosis and band 3 protein deficiency (band 3PRAGUE)</t>
  </si>
  <si>
    <t>Jarolim P, Rubin HL, Liu SC, Cho MR, Brabec V, Derick LH, Yi SJ, Saad ST, Alper S, Brugnara C, et al.</t>
  </si>
  <si>
    <t>J Clin Invest. 1994 Jan;93(1):121-30. doi: 10.1172/JCI116935.</t>
  </si>
  <si>
    <t>Jarolim P</t>
  </si>
  <si>
    <t>PMC293744</t>
  </si>
  <si>
    <t>Insulinoma cells contain an isoform of Ca2+/calmodulin-dependent protein kinase II delta associated with insulin secretion vesicles</t>
  </si>
  <si>
    <t>Möhlig M, Wolter S, Mayer P, Lang J, Osterhoff M, Horn PA, Schatz H, Pfeiffer A.</t>
  </si>
  <si>
    <t>Endocrinology. 1997 Jun;138(6):2577-84. doi: 10.1210/endo.138.6.5168.</t>
  </si>
  <si>
    <t>Möhlig M</t>
  </si>
  <si>
    <t>Endocrinology</t>
  </si>
  <si>
    <t>10.1210/endo.138.6.5168</t>
  </si>
  <si>
    <t>Loss of the ClC-7 chloride channel leads to osteopetrosis in mice and man</t>
  </si>
  <si>
    <t>Kornak U, Kasper D, Bösl MR, Kaiser E, Schweizer M, Schulz A, Friedrich W, Delling G, Jentsch TJ.</t>
  </si>
  <si>
    <t>Cell. 2001 Jan 26;104(2):205-15. doi: 10.1016/s0092-8674(01)00206-9.</t>
  </si>
  <si>
    <t>Kornak U</t>
  </si>
  <si>
    <t>10.1016/s0092-8674(01)00206-9</t>
  </si>
  <si>
    <t>Analysis of the Sarcocystis neurona microneme protein SnMIC10: protein characteristics and expression during intracellular development</t>
  </si>
  <si>
    <t>Hoane JS, Carruthers VB, Striepen B, Morrison DP, Entzeroth R, Howe DK.</t>
  </si>
  <si>
    <t>Int J Parasitol. 2003 Jul;33(7):671-9. doi: 10.1016/s0020-7519(03)00031-6.</t>
  </si>
  <si>
    <t>Hoane JS</t>
  </si>
  <si>
    <t>Int J Parasitol</t>
  </si>
  <si>
    <t>10.1016/s0020-7519(03)00031-6</t>
  </si>
  <si>
    <t>Cationic microparticle [poly(D,L-lactide-co-glycolide)]-coated DNA vaccination induces a long-term immune response against foot and mouth disease in guinea pigs</t>
  </si>
  <si>
    <t>Reddy KS, Rashmi BR, Dechamma HJ, Gopalakrishna S, Banumathi N, Suryanarayana VV, Reddy GR.</t>
  </si>
  <si>
    <t>J Gene Med. 2012 May;14(5):348-52. doi: 10.1002/jgm.2622.</t>
  </si>
  <si>
    <t>Reddy KS</t>
  </si>
  <si>
    <t>J Gene Med</t>
  </si>
  <si>
    <t>10.1002/jgm.2622</t>
  </si>
  <si>
    <t>Lysosomal targeting of P-selectin is mediated by a novel sequence within its cytoplasmic tail</t>
  </si>
  <si>
    <t>Blagoveshchenskaya AD, Norcott JP, Cutler DF.</t>
  </si>
  <si>
    <t>J Biol Chem. 1998 Jan 30;273(5):2729-37. doi: 10.1074/jbc.273.5.2729.</t>
  </si>
  <si>
    <t>Blagoveshchenskaya AD</t>
  </si>
  <si>
    <t>10.1074/jbc.273.5.2729</t>
  </si>
  <si>
    <t>Ramos H, Valdivieso E, Gamargo M, Dagger F, Cohen BE.</t>
  </si>
  <si>
    <t>J Membr Biol. 1996 Jul;152(1):65-75. doi: 10.1007/s002329900086.</t>
  </si>
  <si>
    <t>Ramos H</t>
  </si>
  <si>
    <t>J Membr Biol</t>
  </si>
  <si>
    <t>Synaptotagmin I-DeltaC2B. A novel synaptotagmin isoform with a single C2 domain in the bovine adrenal medulla</t>
  </si>
  <si>
    <t>Hewitt EW, Tao JX, Strasser JE, Cutler DF, Dean GE.</t>
  </si>
  <si>
    <t>Biochim Biophys Acta. 2002 Mar 19;1561(1):76-90. doi: 10.1016/s0005-2736(01)00459-x.</t>
  </si>
  <si>
    <t>Hewitt EW</t>
  </si>
  <si>
    <t>10.1016/s0005-2736(01)00459-x</t>
  </si>
  <si>
    <t>Segregation of autoantibodies with disease in monozygotic twin pairs discordant for systemic sclerosis. Three further cases</t>
  </si>
  <si>
    <t>McHugh NJ, Harvey GR, Whyte J, Dorsey JK.</t>
  </si>
  <si>
    <t>Arthritis Rheum. 1995 Dec;38(12):1845-50. doi: 10.1002/art.1780381219.</t>
  </si>
  <si>
    <t>McHugh NJ</t>
  </si>
  <si>
    <t>10.1002/art.1780381219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</si>
</sst>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 x14ac:knownFonts="1">
    <font>
      <sz val="10"/>
      <name val="Arial"/>
    </font>
  </fonts>
  <fills count="3">
    <fill>
      <patternFill patternType="none"/>
    </fill>
    <fill>
      <patternFill patternType="gray125"/>
    </fill>
    <fill>
      <patternFill patternType="solid">
        <fgColor theme="8" tint="0.79998168889431442"/>
        <bgColor indexed="64"/>
      </patternFill>
    </fill>
  </fills>
  <borders count="1">
    <border>
      <left/>
      <right/>
      <top/>
      <bottom/>
      <diagonal/>
    </border>
  </borders>
  <cellStyleXfs count="1">
    <xf numFmtId="0" fontId="0" fillId="0" borderId="0"/>
  </cellStyleXfs>
  <cellXfs count="2">
    <xf numFmtId="0" fontId="0" fillId="0" borderId="0" xfId="0"/>
    <xf numFmtId="0" fontId="0" fillId="2" borderId="0" xfId="0" applyFill="1"/>
  </cellXfs>
  <cellStyles count="1">
    <cellStyle name="Normal" xfId="0" builtinId="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FC7CE"/>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964"/>
  <sheetViews>
    <sheetView tabSelected="1" workbookViewId="0">
      <selection activeCell="H6" sqref="H6"/>
    </sheetView>
  </sheetViews>
  <sheetFormatPr baseColWidth="10" defaultRowHeight="13" x14ac:dyDescent="0.15"/>
  <cols>
    <col min="1" max="1" width="11.6640625" customWidth="1"/>
    <col min="3" max="3" width="55.1640625" customWidth="1"/>
  </cols>
  <sheetData>
    <row r="1" spans="1:6" x14ac:dyDescent="0.15">
      <c r="A1" t="s">
        <v>1</v>
      </c>
      <c r="C1" t="s">
        <v>8</v>
      </c>
      <c r="D1" t="s">
        <v>46</v>
      </c>
      <c r="E1" t="s">
        <v>56</v>
      </c>
      <c r="F1" t="s">
        <v>65</v>
      </c>
    </row>
    <row r="2" spans="1:6" x14ac:dyDescent="0.15">
      <c r="A2" t="s">
        <v>2862</v>
      </c>
      <c r="C2" t="s">
        <v>2864</v>
      </c>
      <c r="D2">
        <v>2019</v>
      </c>
      <c r="E2" t="s">
        <v>2876</v>
      </c>
      <c r="F2">
        <v>30951670</v>
      </c>
    </row>
    <row r="3" spans="1:6" x14ac:dyDescent="0.15">
      <c r="A3" t="s">
        <v>4725</v>
      </c>
      <c r="C3" t="s">
        <v>4727</v>
      </c>
      <c r="D3">
        <v>2011</v>
      </c>
      <c r="E3" t="s">
        <v>4735</v>
      </c>
      <c r="F3">
        <v>21285958</v>
      </c>
    </row>
    <row r="4" spans="1:6" x14ac:dyDescent="0.15">
      <c r="A4" t="s">
        <v>5183</v>
      </c>
      <c r="C4" t="s">
        <v>5185</v>
      </c>
      <c r="D4">
        <v>2013</v>
      </c>
      <c r="E4" t="s">
        <v>5196</v>
      </c>
      <c r="F4">
        <v>23663360</v>
      </c>
    </row>
    <row r="5" spans="1:6" x14ac:dyDescent="0.15">
      <c r="A5" t="s">
        <v>6352</v>
      </c>
      <c r="C5" t="s">
        <v>6354</v>
      </c>
      <c r="D5">
        <v>2010</v>
      </c>
      <c r="E5" t="s">
        <v>6364</v>
      </c>
      <c r="F5">
        <v>21098229</v>
      </c>
    </row>
    <row r="6" spans="1:6" x14ac:dyDescent="0.15">
      <c r="A6" t="s">
        <v>926</v>
      </c>
      <c r="C6" t="s">
        <v>928</v>
      </c>
      <c r="D6">
        <v>2014</v>
      </c>
      <c r="E6" t="s">
        <v>942</v>
      </c>
      <c r="F6">
        <v>24398677</v>
      </c>
    </row>
    <row r="7" spans="1:6" x14ac:dyDescent="0.15">
      <c r="A7" t="s">
        <v>2847</v>
      </c>
      <c r="C7" t="s">
        <v>2849</v>
      </c>
      <c r="D7">
        <v>2015</v>
      </c>
      <c r="E7" t="s">
        <v>2860</v>
      </c>
      <c r="F7">
        <v>26442449</v>
      </c>
    </row>
    <row r="8" spans="1:6" x14ac:dyDescent="0.15">
      <c r="A8" t="s">
        <v>3190</v>
      </c>
      <c r="C8" t="s">
        <v>3192</v>
      </c>
      <c r="D8">
        <v>2011</v>
      </c>
      <c r="E8" t="s">
        <v>3200</v>
      </c>
      <c r="F8">
        <v>21651777</v>
      </c>
    </row>
    <row r="9" spans="1:6" x14ac:dyDescent="0.15">
      <c r="A9" t="s">
        <v>7852</v>
      </c>
      <c r="C9" t="s">
        <v>7853</v>
      </c>
      <c r="D9">
        <v>1995</v>
      </c>
      <c r="E9" t="s">
        <v>7857</v>
      </c>
      <c r="F9">
        <v>7608073</v>
      </c>
    </row>
    <row r="10" spans="1:6" x14ac:dyDescent="0.15">
      <c r="A10" t="s">
        <v>11037</v>
      </c>
      <c r="C10" t="s">
        <v>11038</v>
      </c>
      <c r="D10">
        <v>1992</v>
      </c>
      <c r="E10" t="s">
        <v>11044</v>
      </c>
      <c r="F10">
        <v>1560052</v>
      </c>
    </row>
    <row r="11" spans="1:6" x14ac:dyDescent="0.15">
      <c r="A11" t="s">
        <v>2151</v>
      </c>
      <c r="C11" t="s">
        <v>2153</v>
      </c>
      <c r="D11">
        <v>2014</v>
      </c>
      <c r="E11" t="s">
        <v>2163</v>
      </c>
      <c r="F11">
        <v>24722878</v>
      </c>
    </row>
    <row r="12" spans="1:6" x14ac:dyDescent="0.15">
      <c r="A12" t="s">
        <v>6511</v>
      </c>
      <c r="C12" t="s">
        <v>6512</v>
      </c>
      <c r="D12">
        <v>2005</v>
      </c>
      <c r="E12" t="s">
        <v>74</v>
      </c>
      <c r="F12">
        <v>15709166</v>
      </c>
    </row>
    <row r="13" spans="1:6" x14ac:dyDescent="0.15">
      <c r="A13" t="s">
        <v>6325</v>
      </c>
      <c r="C13" t="s">
        <v>6327</v>
      </c>
      <c r="D13">
        <v>2009</v>
      </c>
      <c r="E13" t="s">
        <v>6337</v>
      </c>
      <c r="F13">
        <v>19692638</v>
      </c>
    </row>
    <row r="14" spans="1:6" x14ac:dyDescent="0.15">
      <c r="A14" t="s">
        <v>9208</v>
      </c>
      <c r="C14" t="s">
        <v>9210</v>
      </c>
      <c r="D14">
        <v>2013</v>
      </c>
      <c r="E14" t="s">
        <v>9222</v>
      </c>
      <c r="F14">
        <v>23949796</v>
      </c>
    </row>
    <row r="15" spans="1:6" x14ac:dyDescent="0.15">
      <c r="A15" t="s">
        <v>6681</v>
      </c>
      <c r="C15" t="s">
        <v>6683</v>
      </c>
      <c r="D15">
        <v>2014</v>
      </c>
      <c r="E15" t="s">
        <v>6695</v>
      </c>
      <c r="F15">
        <v>24838567</v>
      </c>
    </row>
    <row r="16" spans="1:6" x14ac:dyDescent="0.15">
      <c r="A16" t="s">
        <v>11046</v>
      </c>
      <c r="C16" t="s">
        <v>11048</v>
      </c>
      <c r="D16">
        <v>2012</v>
      </c>
      <c r="E16" t="s">
        <v>11058</v>
      </c>
      <c r="F16">
        <v>22773185</v>
      </c>
    </row>
    <row r="17" spans="1:6" x14ac:dyDescent="0.15">
      <c r="A17" t="s">
        <v>9067</v>
      </c>
      <c r="C17" t="s">
        <v>9069</v>
      </c>
      <c r="D17">
        <v>2014</v>
      </c>
      <c r="E17" t="s">
        <v>9079</v>
      </c>
      <c r="F17">
        <v>25082876</v>
      </c>
    </row>
    <row r="18" spans="1:6" x14ac:dyDescent="0.15">
      <c r="A18" t="s">
        <v>5073</v>
      </c>
      <c r="C18" t="s">
        <v>5075</v>
      </c>
      <c r="D18">
        <v>2016</v>
      </c>
      <c r="E18" t="s">
        <v>5089</v>
      </c>
      <c r="F18">
        <v>27608715</v>
      </c>
    </row>
    <row r="19" spans="1:6" x14ac:dyDescent="0.15">
      <c r="A19" t="s">
        <v>1295</v>
      </c>
      <c r="C19" t="s">
        <v>1297</v>
      </c>
      <c r="D19">
        <v>2010</v>
      </c>
      <c r="E19" t="s">
        <v>1310</v>
      </c>
      <c r="F19">
        <v>20428099</v>
      </c>
    </row>
    <row r="20" spans="1:6" x14ac:dyDescent="0.15">
      <c r="A20" t="s">
        <v>4383</v>
      </c>
      <c r="C20" t="s">
        <v>4384</v>
      </c>
      <c r="D20">
        <v>2005</v>
      </c>
      <c r="E20" t="s">
        <v>4396</v>
      </c>
      <c r="F20">
        <v>15655551</v>
      </c>
    </row>
    <row r="21" spans="1:6" x14ac:dyDescent="0.15">
      <c r="A21" t="s">
        <v>596</v>
      </c>
      <c r="C21" t="s">
        <v>598</v>
      </c>
      <c r="D21">
        <v>2015</v>
      </c>
      <c r="E21" t="s">
        <v>613</v>
      </c>
      <c r="F21">
        <v>25713383</v>
      </c>
    </row>
    <row r="22" spans="1:6" x14ac:dyDescent="0.15">
      <c r="A22" t="s">
        <v>1009</v>
      </c>
      <c r="C22" t="s">
        <v>1011</v>
      </c>
      <c r="D22">
        <v>2012</v>
      </c>
      <c r="E22" t="s">
        <v>1022</v>
      </c>
      <c r="F22">
        <v>22506041</v>
      </c>
    </row>
    <row r="23" spans="1:6" x14ac:dyDescent="0.15">
      <c r="A23" t="s">
        <v>4767</v>
      </c>
      <c r="C23" t="s">
        <v>4769</v>
      </c>
      <c r="D23">
        <v>2015</v>
      </c>
      <c r="E23" t="s">
        <v>4777</v>
      </c>
      <c r="F23">
        <v>25669322</v>
      </c>
    </row>
    <row r="24" spans="1:6" x14ac:dyDescent="0.15">
      <c r="A24" t="s">
        <v>10090</v>
      </c>
      <c r="C24" t="s">
        <v>10091</v>
      </c>
      <c r="D24">
        <v>1995</v>
      </c>
      <c r="E24" t="s">
        <v>10101</v>
      </c>
      <c r="F24">
        <v>8569746</v>
      </c>
    </row>
    <row r="25" spans="1:6" x14ac:dyDescent="0.15">
      <c r="A25" t="s">
        <v>7298</v>
      </c>
      <c r="C25" t="s">
        <v>7300</v>
      </c>
      <c r="D25">
        <v>2017</v>
      </c>
      <c r="E25" t="s">
        <v>7309</v>
      </c>
      <c r="F25">
        <v>28104621</v>
      </c>
    </row>
    <row r="26" spans="1:6" x14ac:dyDescent="0.15">
      <c r="A26" t="s">
        <v>489</v>
      </c>
      <c r="C26" t="s">
        <v>491</v>
      </c>
      <c r="D26">
        <v>2013</v>
      </c>
      <c r="E26" t="s">
        <v>505</v>
      </c>
      <c r="F26">
        <v>23881452</v>
      </c>
    </row>
    <row r="27" spans="1:6" x14ac:dyDescent="0.15">
      <c r="A27" t="s">
        <v>5968</v>
      </c>
      <c r="C27" t="s">
        <v>5969</v>
      </c>
      <c r="D27">
        <v>2004</v>
      </c>
      <c r="E27" t="s">
        <v>5979</v>
      </c>
      <c r="F27">
        <v>15256559</v>
      </c>
    </row>
    <row r="28" spans="1:6" x14ac:dyDescent="0.15">
      <c r="A28" t="s">
        <v>5122</v>
      </c>
      <c r="C28" t="s">
        <v>5124</v>
      </c>
      <c r="D28">
        <v>2010</v>
      </c>
      <c r="E28" t="s">
        <v>5134</v>
      </c>
      <c r="F28">
        <v>21049390</v>
      </c>
    </row>
    <row r="29" spans="1:6" x14ac:dyDescent="0.15">
      <c r="A29" t="s">
        <v>1277</v>
      </c>
      <c r="C29" t="s">
        <v>1279</v>
      </c>
      <c r="D29">
        <v>2011</v>
      </c>
      <c r="E29" t="s">
        <v>1292</v>
      </c>
      <c r="F29">
        <v>21196075</v>
      </c>
    </row>
    <row r="30" spans="1:6" x14ac:dyDescent="0.15">
      <c r="A30" t="s">
        <v>1463</v>
      </c>
      <c r="C30" t="s">
        <v>1465</v>
      </c>
      <c r="D30">
        <v>2015</v>
      </c>
      <c r="E30" t="s">
        <v>1474</v>
      </c>
      <c r="F30">
        <v>26317354</v>
      </c>
    </row>
    <row r="31" spans="1:6" x14ac:dyDescent="0.15">
      <c r="A31" t="s">
        <v>9314</v>
      </c>
      <c r="C31" t="s">
        <v>9315</v>
      </c>
      <c r="D31">
        <v>1995</v>
      </c>
      <c r="E31" t="s">
        <v>74</v>
      </c>
      <c r="F31">
        <v>7745687</v>
      </c>
    </row>
    <row r="32" spans="1:6" x14ac:dyDescent="0.15">
      <c r="A32" t="s">
        <v>7780</v>
      </c>
      <c r="C32" t="s">
        <v>7782</v>
      </c>
      <c r="D32">
        <v>2019</v>
      </c>
      <c r="E32" t="s">
        <v>7791</v>
      </c>
      <c r="F32">
        <v>30240661</v>
      </c>
    </row>
    <row r="33" spans="1:6" x14ac:dyDescent="0.15">
      <c r="A33" t="s">
        <v>683</v>
      </c>
      <c r="C33" t="s">
        <v>685</v>
      </c>
      <c r="D33">
        <v>2017</v>
      </c>
      <c r="E33" t="s">
        <v>698</v>
      </c>
      <c r="F33">
        <v>28671449</v>
      </c>
    </row>
    <row r="34" spans="1:6" x14ac:dyDescent="0.15">
      <c r="A34" t="s">
        <v>6712</v>
      </c>
      <c r="C34" t="s">
        <v>6713</v>
      </c>
      <c r="D34">
        <v>2004</v>
      </c>
      <c r="E34" t="s">
        <v>6722</v>
      </c>
      <c r="F34">
        <v>14963039</v>
      </c>
    </row>
    <row r="35" spans="1:6" x14ac:dyDescent="0.15">
      <c r="A35" t="s">
        <v>423</v>
      </c>
      <c r="C35" t="s">
        <v>425</v>
      </c>
      <c r="D35">
        <v>2014</v>
      </c>
      <c r="E35" t="s">
        <v>438</v>
      </c>
      <c r="F35">
        <v>25111183</v>
      </c>
    </row>
    <row r="36" spans="1:6" x14ac:dyDescent="0.15">
      <c r="A36" t="s">
        <v>4693</v>
      </c>
      <c r="C36" t="s">
        <v>4695</v>
      </c>
      <c r="D36">
        <v>2014</v>
      </c>
      <c r="E36" t="s">
        <v>4706</v>
      </c>
      <c r="F36">
        <v>24748612</v>
      </c>
    </row>
    <row r="37" spans="1:6" x14ac:dyDescent="0.15">
      <c r="A37" t="s">
        <v>10374</v>
      </c>
      <c r="C37" t="s">
        <v>10375</v>
      </c>
      <c r="D37">
        <v>2000</v>
      </c>
      <c r="E37" t="s">
        <v>10384</v>
      </c>
      <c r="F37">
        <v>11024135</v>
      </c>
    </row>
    <row r="38" spans="1:6" x14ac:dyDescent="0.15">
      <c r="A38" t="s">
        <v>403</v>
      </c>
      <c r="C38" t="s">
        <v>405</v>
      </c>
      <c r="D38">
        <v>2018</v>
      </c>
      <c r="E38" t="s">
        <v>418</v>
      </c>
      <c r="F38">
        <v>30108686</v>
      </c>
    </row>
    <row r="39" spans="1:6" x14ac:dyDescent="0.15">
      <c r="A39" t="s">
        <v>5822</v>
      </c>
      <c r="C39" t="s">
        <v>5824</v>
      </c>
      <c r="D39">
        <v>2017</v>
      </c>
      <c r="E39" t="s">
        <v>5834</v>
      </c>
      <c r="F39">
        <v>28412169</v>
      </c>
    </row>
    <row r="40" spans="1:6" x14ac:dyDescent="0.15">
      <c r="A40" t="s">
        <v>7508</v>
      </c>
      <c r="C40" t="s">
        <v>7510</v>
      </c>
      <c r="D40">
        <v>2011</v>
      </c>
      <c r="E40" t="s">
        <v>7520</v>
      </c>
      <c r="F40">
        <v>21555566</v>
      </c>
    </row>
    <row r="41" spans="1:6" x14ac:dyDescent="0.15">
      <c r="A41" t="s">
        <v>441</v>
      </c>
      <c r="C41" t="s">
        <v>443</v>
      </c>
      <c r="D41">
        <v>2015</v>
      </c>
      <c r="E41" t="s">
        <v>452</v>
      </c>
      <c r="F41">
        <v>26142461</v>
      </c>
    </row>
    <row r="42" spans="1:6" x14ac:dyDescent="0.15">
      <c r="A42" t="s">
        <v>6628</v>
      </c>
      <c r="C42" t="s">
        <v>6630</v>
      </c>
      <c r="D42">
        <v>2017</v>
      </c>
      <c r="E42" t="s">
        <v>6638</v>
      </c>
      <c r="F42">
        <v>29069893</v>
      </c>
    </row>
    <row r="43" spans="1:6" x14ac:dyDescent="0.15">
      <c r="A43" t="s">
        <v>7859</v>
      </c>
      <c r="C43" t="s">
        <v>7861</v>
      </c>
      <c r="D43">
        <v>2018</v>
      </c>
      <c r="E43" t="s">
        <v>7872</v>
      </c>
      <c r="F43">
        <v>29558959</v>
      </c>
    </row>
    <row r="44" spans="1:6" x14ac:dyDescent="0.15">
      <c r="A44" t="s">
        <v>1901</v>
      </c>
      <c r="C44" t="s">
        <v>1903</v>
      </c>
      <c r="D44">
        <v>2013</v>
      </c>
      <c r="E44" t="s">
        <v>1914</v>
      </c>
      <c r="F44">
        <v>23580760</v>
      </c>
    </row>
    <row r="45" spans="1:6" x14ac:dyDescent="0.15">
      <c r="A45" t="s">
        <v>3766</v>
      </c>
      <c r="C45" t="s">
        <v>3768</v>
      </c>
      <c r="D45">
        <v>2018</v>
      </c>
      <c r="E45" t="s">
        <v>3777</v>
      </c>
      <c r="F45">
        <v>29330365</v>
      </c>
    </row>
    <row r="46" spans="1:6" x14ac:dyDescent="0.15">
      <c r="A46" t="s">
        <v>6280</v>
      </c>
      <c r="C46" t="s">
        <v>6282</v>
      </c>
      <c r="D46">
        <v>2018</v>
      </c>
      <c r="E46" t="s">
        <v>6290</v>
      </c>
      <c r="F46">
        <v>29570265</v>
      </c>
    </row>
    <row r="47" spans="1:6" x14ac:dyDescent="0.15">
      <c r="A47" t="s">
        <v>1652</v>
      </c>
      <c r="C47" t="s">
        <v>1654</v>
      </c>
      <c r="D47">
        <v>2017</v>
      </c>
      <c r="E47" t="s">
        <v>1663</v>
      </c>
      <c r="F47">
        <v>28850588</v>
      </c>
    </row>
    <row r="48" spans="1:6" x14ac:dyDescent="0.15">
      <c r="A48" t="s">
        <v>4474</v>
      </c>
      <c r="C48" t="s">
        <v>4476</v>
      </c>
      <c r="D48">
        <v>2017</v>
      </c>
      <c r="E48" t="s">
        <v>4488</v>
      </c>
      <c r="F48">
        <v>28121262</v>
      </c>
    </row>
    <row r="49" spans="1:6" x14ac:dyDescent="0.15">
      <c r="A49" t="s">
        <v>6951</v>
      </c>
      <c r="C49" t="s">
        <v>6952</v>
      </c>
      <c r="D49">
        <v>2005</v>
      </c>
      <c r="E49" t="s">
        <v>6963</v>
      </c>
      <c r="F49">
        <v>16107606</v>
      </c>
    </row>
    <row r="50" spans="1:6" x14ac:dyDescent="0.15">
      <c r="A50" t="s">
        <v>8873</v>
      </c>
      <c r="C50" t="s">
        <v>8875</v>
      </c>
      <c r="D50">
        <v>2017</v>
      </c>
      <c r="E50" t="s">
        <v>8884</v>
      </c>
      <c r="F50">
        <v>29084979</v>
      </c>
    </row>
    <row r="51" spans="1:6" x14ac:dyDescent="0.15">
      <c r="A51" t="s">
        <v>9267</v>
      </c>
      <c r="C51" t="s">
        <v>9269</v>
      </c>
      <c r="D51">
        <v>2015</v>
      </c>
      <c r="E51" t="s">
        <v>9276</v>
      </c>
      <c r="F51">
        <v>25908243</v>
      </c>
    </row>
    <row r="52" spans="1:6" x14ac:dyDescent="0.15">
      <c r="A52" t="s">
        <v>4708</v>
      </c>
      <c r="C52" t="s">
        <v>4710</v>
      </c>
      <c r="D52">
        <v>2017</v>
      </c>
      <c r="E52" t="s">
        <v>4721</v>
      </c>
      <c r="F52">
        <v>28966872</v>
      </c>
    </row>
    <row r="53" spans="1:6" x14ac:dyDescent="0.15">
      <c r="A53" t="s">
        <v>8566</v>
      </c>
      <c r="C53" t="s">
        <v>8568</v>
      </c>
      <c r="D53">
        <v>2015</v>
      </c>
      <c r="E53" t="s">
        <v>8578</v>
      </c>
      <c r="F53">
        <v>26201019</v>
      </c>
    </row>
    <row r="54" spans="1:6" x14ac:dyDescent="0.15">
      <c r="A54" t="s">
        <v>5430</v>
      </c>
      <c r="C54" t="s">
        <v>5432</v>
      </c>
      <c r="D54">
        <v>2016</v>
      </c>
      <c r="E54" t="s">
        <v>5441</v>
      </c>
      <c r="F54">
        <v>26681674</v>
      </c>
    </row>
    <row r="55" spans="1:6" x14ac:dyDescent="0.15">
      <c r="A55" t="s">
        <v>3234</v>
      </c>
      <c r="C55" t="s">
        <v>3236</v>
      </c>
      <c r="D55">
        <v>2017</v>
      </c>
      <c r="E55" t="s">
        <v>3246</v>
      </c>
      <c r="F55">
        <v>28743887</v>
      </c>
    </row>
    <row r="56" spans="1:6" x14ac:dyDescent="0.15">
      <c r="A56" t="s">
        <v>10268</v>
      </c>
      <c r="C56" t="s">
        <v>10269</v>
      </c>
      <c r="D56">
        <v>2001</v>
      </c>
      <c r="E56" t="s">
        <v>10278</v>
      </c>
      <c r="F56">
        <v>11352238</v>
      </c>
    </row>
    <row r="57" spans="1:6" x14ac:dyDescent="0.15">
      <c r="A57" t="s">
        <v>10950</v>
      </c>
      <c r="C57" t="s">
        <v>10952</v>
      </c>
      <c r="D57">
        <v>2015</v>
      </c>
      <c r="E57" t="s">
        <v>10960</v>
      </c>
      <c r="F57">
        <v>25690152</v>
      </c>
    </row>
    <row r="58" spans="1:6" x14ac:dyDescent="0.15">
      <c r="A58" t="s">
        <v>471</v>
      </c>
      <c r="C58" t="s">
        <v>473</v>
      </c>
      <c r="D58">
        <v>2017</v>
      </c>
      <c r="E58" t="s">
        <v>486</v>
      </c>
      <c r="F58">
        <v>27902458</v>
      </c>
    </row>
    <row r="59" spans="1:6" x14ac:dyDescent="0.15">
      <c r="A59" t="s">
        <v>6106</v>
      </c>
      <c r="C59" t="s">
        <v>6108</v>
      </c>
      <c r="D59">
        <v>2018</v>
      </c>
      <c r="E59" t="s">
        <v>6117</v>
      </c>
      <c r="F59">
        <v>29216356</v>
      </c>
    </row>
    <row r="60" spans="1:6" x14ac:dyDescent="0.15">
      <c r="A60" t="s">
        <v>2789</v>
      </c>
      <c r="C60" t="s">
        <v>2791</v>
      </c>
      <c r="D60">
        <v>2015</v>
      </c>
      <c r="E60" t="s">
        <v>2800</v>
      </c>
      <c r="F60">
        <v>25988257</v>
      </c>
    </row>
    <row r="61" spans="1:6" x14ac:dyDescent="0.15">
      <c r="A61" t="s">
        <v>10478</v>
      </c>
      <c r="C61" t="s">
        <v>10479</v>
      </c>
      <c r="D61">
        <v>2004</v>
      </c>
      <c r="E61" t="s">
        <v>10491</v>
      </c>
      <c r="F61">
        <v>14742549</v>
      </c>
    </row>
    <row r="62" spans="1:6" x14ac:dyDescent="0.15">
      <c r="A62" t="s">
        <v>9443</v>
      </c>
      <c r="C62" t="s">
        <v>9445</v>
      </c>
      <c r="D62">
        <v>2018</v>
      </c>
      <c r="E62" t="s">
        <v>9453</v>
      </c>
      <c r="F62">
        <v>29973048</v>
      </c>
    </row>
    <row r="63" spans="1:6" x14ac:dyDescent="0.15">
      <c r="A63" t="s">
        <v>1360</v>
      </c>
      <c r="C63" t="s">
        <v>1362</v>
      </c>
      <c r="D63">
        <v>2017</v>
      </c>
      <c r="E63" t="s">
        <v>1372</v>
      </c>
      <c r="F63">
        <v>29109780</v>
      </c>
    </row>
    <row r="64" spans="1:6" x14ac:dyDescent="0.15">
      <c r="A64" t="s">
        <v>1812</v>
      </c>
      <c r="C64" t="s">
        <v>1814</v>
      </c>
      <c r="D64">
        <v>2016</v>
      </c>
      <c r="E64" t="s">
        <v>1823</v>
      </c>
      <c r="F64">
        <v>27363026</v>
      </c>
    </row>
    <row r="65" spans="1:6" x14ac:dyDescent="0.15">
      <c r="A65" t="s">
        <v>5851</v>
      </c>
      <c r="C65" t="s">
        <v>5853</v>
      </c>
      <c r="D65">
        <v>2016</v>
      </c>
      <c r="E65" t="s">
        <v>5862</v>
      </c>
      <c r="F65">
        <v>26603257</v>
      </c>
    </row>
    <row r="66" spans="1:6" x14ac:dyDescent="0.15">
      <c r="A66" t="s">
        <v>6923</v>
      </c>
      <c r="C66" t="s">
        <v>6925</v>
      </c>
      <c r="D66">
        <v>2013</v>
      </c>
      <c r="E66" t="s">
        <v>6935</v>
      </c>
      <c r="F66">
        <v>23874201</v>
      </c>
    </row>
    <row r="67" spans="1:6" x14ac:dyDescent="0.15">
      <c r="A67" t="s">
        <v>8111</v>
      </c>
      <c r="C67" t="s">
        <v>8113</v>
      </c>
      <c r="D67">
        <v>2018</v>
      </c>
      <c r="E67" t="s">
        <v>8122</v>
      </c>
      <c r="F67">
        <v>29121557</v>
      </c>
    </row>
    <row r="68" spans="1:6" x14ac:dyDescent="0.15">
      <c r="A68" t="s">
        <v>1977</v>
      </c>
      <c r="C68" t="s">
        <v>1979</v>
      </c>
      <c r="D68">
        <v>2017</v>
      </c>
      <c r="E68" t="s">
        <v>1992</v>
      </c>
      <c r="F68">
        <v>28453784</v>
      </c>
    </row>
    <row r="69" spans="1:6" x14ac:dyDescent="0.15">
      <c r="A69" t="s">
        <v>4933</v>
      </c>
      <c r="C69" t="s">
        <v>4935</v>
      </c>
      <c r="D69">
        <v>2014</v>
      </c>
      <c r="E69" t="s">
        <v>4945</v>
      </c>
      <c r="F69">
        <v>24939845</v>
      </c>
    </row>
    <row r="70" spans="1:6" x14ac:dyDescent="0.15">
      <c r="A70" t="s">
        <v>9369</v>
      </c>
      <c r="C70" t="s">
        <v>9371</v>
      </c>
      <c r="D70">
        <v>2017</v>
      </c>
      <c r="E70" t="s">
        <v>9383</v>
      </c>
      <c r="F70">
        <v>28650960</v>
      </c>
    </row>
    <row r="71" spans="1:6" x14ac:dyDescent="0.15">
      <c r="A71" t="s">
        <v>9326</v>
      </c>
      <c r="C71" t="s">
        <v>9328</v>
      </c>
      <c r="D71">
        <v>2014</v>
      </c>
      <c r="E71" t="s">
        <v>9338</v>
      </c>
      <c r="F71">
        <v>24573314</v>
      </c>
    </row>
    <row r="72" spans="1:6" x14ac:dyDescent="0.15">
      <c r="A72" t="s">
        <v>3732</v>
      </c>
      <c r="C72" t="s">
        <v>3734</v>
      </c>
      <c r="D72">
        <v>2015</v>
      </c>
      <c r="E72" t="s">
        <v>3746</v>
      </c>
      <c r="F72">
        <v>25772109</v>
      </c>
    </row>
    <row r="73" spans="1:6" x14ac:dyDescent="0.15">
      <c r="A73" t="s">
        <v>7651</v>
      </c>
      <c r="C73" t="s">
        <v>7653</v>
      </c>
      <c r="D73">
        <v>2018</v>
      </c>
      <c r="E73" t="s">
        <v>7666</v>
      </c>
      <c r="F73">
        <v>29278659</v>
      </c>
    </row>
    <row r="74" spans="1:6" x14ac:dyDescent="0.15">
      <c r="A74" t="s">
        <v>565</v>
      </c>
      <c r="C74" t="s">
        <v>567</v>
      </c>
      <c r="D74">
        <v>2016</v>
      </c>
      <c r="E74" t="s">
        <v>580</v>
      </c>
      <c r="F74">
        <v>27305142</v>
      </c>
    </row>
    <row r="75" spans="1:6" x14ac:dyDescent="0.15">
      <c r="A75" t="s">
        <v>4490</v>
      </c>
      <c r="C75" t="s">
        <v>4492</v>
      </c>
      <c r="D75">
        <v>2019</v>
      </c>
      <c r="E75" t="s">
        <v>4503</v>
      </c>
      <c r="F75">
        <v>31799396</v>
      </c>
    </row>
    <row r="76" spans="1:6" x14ac:dyDescent="0.15">
      <c r="A76" t="s">
        <v>9769</v>
      </c>
      <c r="C76" t="s">
        <v>9771</v>
      </c>
      <c r="D76">
        <v>2015</v>
      </c>
      <c r="E76" t="s">
        <v>9782</v>
      </c>
      <c r="F76">
        <v>25040043</v>
      </c>
    </row>
    <row r="77" spans="1:6" x14ac:dyDescent="0.15">
      <c r="A77" t="s">
        <v>7352</v>
      </c>
      <c r="C77" t="s">
        <v>7354</v>
      </c>
      <c r="D77">
        <v>2019</v>
      </c>
      <c r="E77" t="s">
        <v>7364</v>
      </c>
      <c r="F77">
        <v>30992025</v>
      </c>
    </row>
    <row r="78" spans="1:6" x14ac:dyDescent="0.15">
      <c r="A78" t="s">
        <v>10507</v>
      </c>
      <c r="C78" t="s">
        <v>10508</v>
      </c>
      <c r="D78">
        <v>1994</v>
      </c>
      <c r="E78" t="s">
        <v>10517</v>
      </c>
      <c r="F78">
        <v>8282779</v>
      </c>
    </row>
    <row r="79" spans="1:6" x14ac:dyDescent="0.15">
      <c r="A79" t="s">
        <v>6597</v>
      </c>
      <c r="C79" t="s">
        <v>6599</v>
      </c>
      <c r="D79">
        <v>2014</v>
      </c>
      <c r="E79" t="s">
        <v>6610</v>
      </c>
      <c r="F79">
        <v>25407601</v>
      </c>
    </row>
    <row r="80" spans="1:6" x14ac:dyDescent="0.15">
      <c r="A80" t="s">
        <v>3585</v>
      </c>
      <c r="C80" t="s">
        <v>3587</v>
      </c>
      <c r="D80">
        <v>2014</v>
      </c>
      <c r="E80" t="s">
        <v>3600</v>
      </c>
      <c r="F80">
        <v>24834468</v>
      </c>
    </row>
    <row r="81" spans="1:6" x14ac:dyDescent="0.15">
      <c r="A81" t="s">
        <v>4304</v>
      </c>
      <c r="C81" t="s">
        <v>4306</v>
      </c>
      <c r="D81">
        <v>2015</v>
      </c>
      <c r="E81" t="s">
        <v>4317</v>
      </c>
      <c r="F81">
        <v>26172304</v>
      </c>
    </row>
    <row r="82" spans="1:6" x14ac:dyDescent="0.15">
      <c r="A82" t="s">
        <v>5105</v>
      </c>
      <c r="C82" t="s">
        <v>5107</v>
      </c>
      <c r="D82">
        <v>2018</v>
      </c>
      <c r="E82" t="s">
        <v>5120</v>
      </c>
      <c r="F82">
        <v>30102952</v>
      </c>
    </row>
    <row r="83" spans="1:6" x14ac:dyDescent="0.15">
      <c r="A83" t="s">
        <v>10629</v>
      </c>
      <c r="C83" t="s">
        <v>10630</v>
      </c>
      <c r="D83">
        <v>1996</v>
      </c>
      <c r="E83" t="s">
        <v>10639</v>
      </c>
      <c r="F83">
        <v>8660406</v>
      </c>
    </row>
    <row r="84" spans="1:6" x14ac:dyDescent="0.15">
      <c r="A84" t="s">
        <v>8580</v>
      </c>
      <c r="C84" t="s">
        <v>8582</v>
      </c>
      <c r="D84">
        <v>2009</v>
      </c>
      <c r="E84" t="s">
        <v>8594</v>
      </c>
      <c r="F84">
        <v>19146850</v>
      </c>
    </row>
    <row r="85" spans="1:6" x14ac:dyDescent="0.15">
      <c r="A85" t="s">
        <v>9123</v>
      </c>
      <c r="C85" t="s">
        <v>9125</v>
      </c>
      <c r="D85">
        <v>2020</v>
      </c>
      <c r="E85" t="s">
        <v>9135</v>
      </c>
      <c r="F85">
        <v>32170015</v>
      </c>
    </row>
    <row r="86" spans="1:6" x14ac:dyDescent="0.15">
      <c r="A86" t="s">
        <v>8377</v>
      </c>
      <c r="C86" t="s">
        <v>8379</v>
      </c>
      <c r="D86">
        <v>2020</v>
      </c>
      <c r="E86" t="s">
        <v>8388</v>
      </c>
      <c r="F86">
        <v>31894795</v>
      </c>
    </row>
    <row r="87" spans="1:6" x14ac:dyDescent="0.15">
      <c r="A87" t="s">
        <v>2910</v>
      </c>
      <c r="C87" t="s">
        <v>2912</v>
      </c>
      <c r="D87">
        <v>2019</v>
      </c>
      <c r="E87" t="s">
        <v>2920</v>
      </c>
      <c r="F87">
        <v>31660712</v>
      </c>
    </row>
    <row r="88" spans="1:6" x14ac:dyDescent="0.15">
      <c r="A88" t="s">
        <v>9784</v>
      </c>
      <c r="C88" t="s">
        <v>9786</v>
      </c>
      <c r="D88">
        <v>2017</v>
      </c>
      <c r="E88" t="s">
        <v>9796</v>
      </c>
      <c r="F88">
        <v>28319051</v>
      </c>
    </row>
    <row r="89" spans="1:6" x14ac:dyDescent="0.15">
      <c r="A89" t="s">
        <v>4370</v>
      </c>
      <c r="C89" t="s">
        <v>4372</v>
      </c>
      <c r="D89">
        <v>2019</v>
      </c>
      <c r="E89" t="s">
        <v>4381</v>
      </c>
      <c r="F89">
        <v>31004923</v>
      </c>
    </row>
    <row r="90" spans="1:6" x14ac:dyDescent="0.15">
      <c r="A90" t="s">
        <v>1152</v>
      </c>
      <c r="C90" t="s">
        <v>1154</v>
      </c>
      <c r="D90">
        <v>2015</v>
      </c>
      <c r="E90" t="s">
        <v>1164</v>
      </c>
      <c r="F90">
        <v>25819213</v>
      </c>
    </row>
    <row r="91" spans="1:6" x14ac:dyDescent="0.15">
      <c r="A91" t="s">
        <v>10806</v>
      </c>
      <c r="C91" t="s">
        <v>10808</v>
      </c>
      <c r="D91">
        <v>2008</v>
      </c>
      <c r="E91" t="s">
        <v>10819</v>
      </c>
      <c r="F91">
        <v>18373740</v>
      </c>
    </row>
    <row r="92" spans="1:6" x14ac:dyDescent="0.15">
      <c r="A92" t="s">
        <v>944</v>
      </c>
      <c r="C92" t="s">
        <v>946</v>
      </c>
      <c r="D92">
        <v>2019</v>
      </c>
      <c r="E92" t="s">
        <v>956</v>
      </c>
      <c r="F92">
        <v>31191831</v>
      </c>
    </row>
    <row r="93" spans="1:6" x14ac:dyDescent="0.15">
      <c r="A93" t="s">
        <v>6427</v>
      </c>
      <c r="C93" t="s">
        <v>6429</v>
      </c>
      <c r="D93">
        <v>2018</v>
      </c>
      <c r="E93" t="s">
        <v>6438</v>
      </c>
      <c r="F93">
        <v>30350935</v>
      </c>
    </row>
    <row r="94" spans="1:6" x14ac:dyDescent="0.15">
      <c r="A94" t="s">
        <v>3371</v>
      </c>
      <c r="C94" t="s">
        <v>3373</v>
      </c>
      <c r="D94">
        <v>2018</v>
      </c>
      <c r="E94" t="s">
        <v>3384</v>
      </c>
      <c r="F94">
        <v>29986209</v>
      </c>
    </row>
    <row r="95" spans="1:6" x14ac:dyDescent="0.15">
      <c r="A95" t="s">
        <v>8021</v>
      </c>
      <c r="C95" t="s">
        <v>8023</v>
      </c>
      <c r="D95">
        <v>2017</v>
      </c>
      <c r="E95" t="s">
        <v>8033</v>
      </c>
      <c r="F95">
        <v>29234015</v>
      </c>
    </row>
    <row r="96" spans="1:6" x14ac:dyDescent="0.15">
      <c r="A96" t="s">
        <v>6309</v>
      </c>
      <c r="C96" t="s">
        <v>6311</v>
      </c>
      <c r="D96">
        <v>2016</v>
      </c>
      <c r="E96" t="s">
        <v>6321</v>
      </c>
      <c r="F96">
        <v>29259699</v>
      </c>
    </row>
    <row r="97" spans="1:6" x14ac:dyDescent="0.15">
      <c r="A97" t="s">
        <v>10234</v>
      </c>
      <c r="C97" t="s">
        <v>10236</v>
      </c>
      <c r="D97">
        <v>2016</v>
      </c>
      <c r="E97" t="s">
        <v>10248</v>
      </c>
      <c r="F97">
        <v>27117590</v>
      </c>
    </row>
    <row r="98" spans="1:6" x14ac:dyDescent="0.15">
      <c r="A98" t="s">
        <v>5304</v>
      </c>
      <c r="C98" t="s">
        <v>5306</v>
      </c>
      <c r="D98">
        <v>2018</v>
      </c>
      <c r="E98" t="s">
        <v>5315</v>
      </c>
      <c r="F98">
        <v>29674035</v>
      </c>
    </row>
    <row r="99" spans="1:6" x14ac:dyDescent="0.15">
      <c r="A99" t="s">
        <v>8596</v>
      </c>
      <c r="C99" t="s">
        <v>8597</v>
      </c>
      <c r="D99">
        <v>1998</v>
      </c>
      <c r="E99" t="s">
        <v>8607</v>
      </c>
      <c r="F99">
        <v>9652412</v>
      </c>
    </row>
    <row r="100" spans="1:6" x14ac:dyDescent="0.15">
      <c r="A100" t="s">
        <v>2639</v>
      </c>
      <c r="C100" t="s">
        <v>2641</v>
      </c>
      <c r="D100">
        <v>2008</v>
      </c>
      <c r="E100" t="s">
        <v>2654</v>
      </c>
      <c r="F100">
        <v>18456845</v>
      </c>
    </row>
    <row r="101" spans="1:6" x14ac:dyDescent="0.15">
      <c r="A101" t="s">
        <v>7466</v>
      </c>
      <c r="C101" t="s">
        <v>7468</v>
      </c>
      <c r="D101">
        <v>2013</v>
      </c>
      <c r="E101" t="s">
        <v>7476</v>
      </c>
      <c r="F101">
        <v>23402739</v>
      </c>
    </row>
    <row r="102" spans="1:6" x14ac:dyDescent="0.15">
      <c r="A102" t="s">
        <v>9455</v>
      </c>
      <c r="C102" t="s">
        <v>9457</v>
      </c>
      <c r="D102">
        <v>2016</v>
      </c>
      <c r="E102" t="s">
        <v>9465</v>
      </c>
      <c r="F102">
        <v>24984623</v>
      </c>
    </row>
    <row r="103" spans="1:6" x14ac:dyDescent="0.15">
      <c r="A103" t="s">
        <v>190</v>
      </c>
      <c r="C103" t="s">
        <v>192</v>
      </c>
      <c r="D103">
        <v>2016</v>
      </c>
      <c r="E103" t="s">
        <v>201</v>
      </c>
      <c r="F103">
        <v>27662833</v>
      </c>
    </row>
    <row r="104" spans="1:6" x14ac:dyDescent="0.15">
      <c r="A104" t="s">
        <v>4172</v>
      </c>
      <c r="C104" t="s">
        <v>4174</v>
      </c>
      <c r="D104">
        <v>2017</v>
      </c>
      <c r="E104" t="s">
        <v>4183</v>
      </c>
      <c r="F104">
        <v>29162835</v>
      </c>
    </row>
    <row r="105" spans="1:6" x14ac:dyDescent="0.15">
      <c r="A105" t="s">
        <v>5061</v>
      </c>
      <c r="C105" t="s">
        <v>5063</v>
      </c>
      <c r="D105">
        <v>2015</v>
      </c>
      <c r="E105" t="s">
        <v>5071</v>
      </c>
      <c r="F105">
        <v>26272609</v>
      </c>
    </row>
    <row r="106" spans="1:6" x14ac:dyDescent="0.15">
      <c r="A106" t="s">
        <v>7366</v>
      </c>
      <c r="C106" t="s">
        <v>7367</v>
      </c>
      <c r="D106">
        <v>1999</v>
      </c>
      <c r="E106" t="s">
        <v>7376</v>
      </c>
      <c r="F106">
        <v>10532697</v>
      </c>
    </row>
    <row r="107" spans="1:6" x14ac:dyDescent="0.15">
      <c r="A107" t="s">
        <v>10670</v>
      </c>
      <c r="C107" t="s">
        <v>10671</v>
      </c>
      <c r="D107">
        <v>1996</v>
      </c>
      <c r="E107" t="s">
        <v>10677</v>
      </c>
      <c r="F107">
        <v>8806491</v>
      </c>
    </row>
    <row r="108" spans="1:6" x14ac:dyDescent="0.15">
      <c r="A108" t="s">
        <v>3812</v>
      </c>
      <c r="C108" t="s">
        <v>3814</v>
      </c>
      <c r="D108">
        <v>2020</v>
      </c>
      <c r="E108" t="s">
        <v>3825</v>
      </c>
      <c r="F108">
        <v>32132711</v>
      </c>
    </row>
    <row r="109" spans="1:6" x14ac:dyDescent="0.15">
      <c r="A109" t="s">
        <v>10329</v>
      </c>
      <c r="C109" t="s">
        <v>10331</v>
      </c>
      <c r="D109">
        <v>2018</v>
      </c>
      <c r="E109" t="s">
        <v>10341</v>
      </c>
      <c r="F109">
        <v>29582582</v>
      </c>
    </row>
    <row r="110" spans="1:6" x14ac:dyDescent="0.15">
      <c r="A110" t="s">
        <v>2673</v>
      </c>
      <c r="C110" t="s">
        <v>2675</v>
      </c>
      <c r="D110">
        <v>2019</v>
      </c>
      <c r="E110" t="s">
        <v>2683</v>
      </c>
      <c r="F110">
        <v>31376716</v>
      </c>
    </row>
    <row r="111" spans="1:6" x14ac:dyDescent="0.15">
      <c r="A111" t="s">
        <v>3475</v>
      </c>
      <c r="C111" t="s">
        <v>3477</v>
      </c>
      <c r="D111">
        <v>2019</v>
      </c>
      <c r="E111" t="s">
        <v>3484</v>
      </c>
      <c r="F111">
        <v>31506601</v>
      </c>
    </row>
    <row r="112" spans="1:6" x14ac:dyDescent="0.15">
      <c r="A112" t="s">
        <v>4659</v>
      </c>
      <c r="C112" t="s">
        <v>4661</v>
      </c>
      <c r="D112">
        <v>2016</v>
      </c>
      <c r="E112" t="s">
        <v>4671</v>
      </c>
      <c r="F112">
        <v>27385095</v>
      </c>
    </row>
    <row r="113" spans="1:6" x14ac:dyDescent="0.15">
      <c r="A113" t="s">
        <v>1716</v>
      </c>
      <c r="C113" t="s">
        <v>1718</v>
      </c>
      <c r="D113">
        <v>2017</v>
      </c>
      <c r="E113" t="s">
        <v>1730</v>
      </c>
      <c r="F113">
        <v>28433888</v>
      </c>
    </row>
    <row r="114" spans="1:6" x14ac:dyDescent="0.15">
      <c r="A114" t="s">
        <v>3329</v>
      </c>
      <c r="C114" t="s">
        <v>3331</v>
      </c>
      <c r="D114">
        <v>2018</v>
      </c>
      <c r="E114" t="s">
        <v>3344</v>
      </c>
      <c r="F114">
        <v>29305855</v>
      </c>
    </row>
    <row r="115" spans="1:6" x14ac:dyDescent="0.15">
      <c r="A115" t="s">
        <v>6063</v>
      </c>
      <c r="C115" t="s">
        <v>6065</v>
      </c>
      <c r="D115">
        <v>2018</v>
      </c>
      <c r="E115" t="s">
        <v>6074</v>
      </c>
      <c r="F115">
        <v>30371719</v>
      </c>
    </row>
    <row r="116" spans="1:6" x14ac:dyDescent="0.15">
      <c r="A116" t="s">
        <v>6907</v>
      </c>
      <c r="C116" t="s">
        <v>6910</v>
      </c>
      <c r="D116">
        <v>2014</v>
      </c>
      <c r="E116" t="s">
        <v>6921</v>
      </c>
      <c r="F116">
        <v>24862597</v>
      </c>
    </row>
    <row r="117" spans="1:6" x14ac:dyDescent="0.15">
      <c r="A117" t="s">
        <v>9535</v>
      </c>
      <c r="C117" t="s">
        <v>9537</v>
      </c>
      <c r="D117">
        <v>2011</v>
      </c>
      <c r="E117" t="s">
        <v>9545</v>
      </c>
      <c r="F117">
        <v>21491915</v>
      </c>
    </row>
    <row r="118" spans="1:6" x14ac:dyDescent="0.15">
      <c r="A118" t="s">
        <v>203</v>
      </c>
      <c r="C118" t="s">
        <v>205</v>
      </c>
      <c r="D118">
        <v>2018</v>
      </c>
      <c r="E118" t="s">
        <v>217</v>
      </c>
      <c r="F118">
        <v>28684288</v>
      </c>
    </row>
    <row r="119" spans="1:6" x14ac:dyDescent="0.15">
      <c r="A119" t="s">
        <v>1638</v>
      </c>
      <c r="C119" t="s">
        <v>1640</v>
      </c>
      <c r="D119">
        <v>2020</v>
      </c>
      <c r="E119" t="s">
        <v>1650</v>
      </c>
      <c r="F119">
        <v>32158519</v>
      </c>
    </row>
    <row r="120" spans="1:6" x14ac:dyDescent="0.15">
      <c r="A120" t="s">
        <v>10689</v>
      </c>
      <c r="C120" t="s">
        <v>10691</v>
      </c>
      <c r="D120">
        <v>2020</v>
      </c>
      <c r="E120" t="s">
        <v>10701</v>
      </c>
      <c r="F120">
        <v>31048354</v>
      </c>
    </row>
    <row r="121" spans="1:6" x14ac:dyDescent="0.15">
      <c r="A121" t="s">
        <v>10103</v>
      </c>
      <c r="C121" t="s">
        <v>10105</v>
      </c>
      <c r="D121">
        <v>2019</v>
      </c>
      <c r="E121" t="s">
        <v>10119</v>
      </c>
      <c r="F121">
        <v>30953539</v>
      </c>
    </row>
    <row r="122" spans="1:6" x14ac:dyDescent="0.15">
      <c r="A122" t="s">
        <v>6377</v>
      </c>
      <c r="C122" t="s">
        <v>6379</v>
      </c>
      <c r="D122">
        <v>2019</v>
      </c>
      <c r="E122" t="s">
        <v>6387</v>
      </c>
      <c r="F122">
        <v>31200334</v>
      </c>
    </row>
    <row r="123" spans="1:6" x14ac:dyDescent="0.15">
      <c r="A123" t="s">
        <v>5712</v>
      </c>
      <c r="C123" t="s">
        <v>5714</v>
      </c>
      <c r="D123">
        <v>2020</v>
      </c>
      <c r="E123" t="s">
        <v>5724</v>
      </c>
      <c r="F123">
        <v>32895384</v>
      </c>
    </row>
    <row r="124" spans="1:6" x14ac:dyDescent="0.15">
      <c r="A124" t="s">
        <v>10642</v>
      </c>
      <c r="C124" t="s">
        <v>10644</v>
      </c>
      <c r="D124">
        <v>2017</v>
      </c>
      <c r="E124" t="s">
        <v>10652</v>
      </c>
      <c r="F124">
        <v>28148795</v>
      </c>
    </row>
    <row r="125" spans="1:6" x14ac:dyDescent="0.15">
      <c r="A125" t="s">
        <v>9193</v>
      </c>
      <c r="C125" t="s">
        <v>9195</v>
      </c>
      <c r="D125">
        <v>2018</v>
      </c>
      <c r="E125" t="s">
        <v>9206</v>
      </c>
      <c r="F125">
        <v>30177542</v>
      </c>
    </row>
    <row r="126" spans="1:6" x14ac:dyDescent="0.15">
      <c r="A126" t="s">
        <v>6339</v>
      </c>
      <c r="C126" t="s">
        <v>6341</v>
      </c>
      <c r="D126">
        <v>2009</v>
      </c>
      <c r="E126" t="s">
        <v>6350</v>
      </c>
      <c r="F126">
        <v>19143024</v>
      </c>
    </row>
    <row r="127" spans="1:6" x14ac:dyDescent="0.15">
      <c r="A127" t="s">
        <v>1134</v>
      </c>
      <c r="C127" t="s">
        <v>1136</v>
      </c>
      <c r="D127">
        <v>2019</v>
      </c>
      <c r="E127" t="s">
        <v>1148</v>
      </c>
      <c r="F127">
        <v>30915846</v>
      </c>
    </row>
    <row r="128" spans="1:6" x14ac:dyDescent="0.15">
      <c r="A128" t="s">
        <v>5339</v>
      </c>
      <c r="C128" t="s">
        <v>5341</v>
      </c>
      <c r="D128">
        <v>2018</v>
      </c>
      <c r="E128" t="s">
        <v>5351</v>
      </c>
      <c r="F128">
        <v>29343810</v>
      </c>
    </row>
    <row r="129" spans="1:6" x14ac:dyDescent="0.15">
      <c r="A129" t="s">
        <v>132</v>
      </c>
      <c r="C129" t="s">
        <v>134</v>
      </c>
      <c r="D129">
        <v>2018</v>
      </c>
      <c r="E129" t="s">
        <v>145</v>
      </c>
      <c r="F129">
        <v>30526536</v>
      </c>
    </row>
    <row r="130" spans="1:6" x14ac:dyDescent="0.15">
      <c r="A130" t="s">
        <v>3628</v>
      </c>
      <c r="C130" t="s">
        <v>3630</v>
      </c>
      <c r="D130">
        <v>2015</v>
      </c>
      <c r="E130" t="s">
        <v>3643</v>
      </c>
      <c r="F130">
        <v>26578789</v>
      </c>
    </row>
    <row r="131" spans="1:6" x14ac:dyDescent="0.15">
      <c r="A131" t="s">
        <v>7271</v>
      </c>
      <c r="C131" t="s">
        <v>7273</v>
      </c>
      <c r="D131">
        <v>2017</v>
      </c>
      <c r="E131" t="s">
        <v>7282</v>
      </c>
      <c r="F131">
        <v>28574818</v>
      </c>
    </row>
    <row r="132" spans="1:6" x14ac:dyDescent="0.15">
      <c r="A132" t="s">
        <v>7874</v>
      </c>
      <c r="C132" t="s">
        <v>7876</v>
      </c>
      <c r="D132">
        <v>2020</v>
      </c>
      <c r="E132" t="s">
        <v>7888</v>
      </c>
      <c r="F132">
        <v>31843276</v>
      </c>
    </row>
    <row r="133" spans="1:6" x14ac:dyDescent="0.15">
      <c r="A133" t="s">
        <v>8743</v>
      </c>
      <c r="C133" t="s">
        <v>8745</v>
      </c>
      <c r="D133">
        <v>2018</v>
      </c>
      <c r="E133" t="s">
        <v>8753</v>
      </c>
      <c r="F133">
        <v>30305607</v>
      </c>
    </row>
    <row r="134" spans="1:6" x14ac:dyDescent="0.15">
      <c r="A134" t="s">
        <v>8860</v>
      </c>
      <c r="C134" t="s">
        <v>8861</v>
      </c>
      <c r="D134">
        <v>1994</v>
      </c>
      <c r="E134" t="s">
        <v>8871</v>
      </c>
      <c r="F134">
        <v>7918455</v>
      </c>
    </row>
    <row r="135" spans="1:6" x14ac:dyDescent="0.15">
      <c r="A135" t="s">
        <v>9679</v>
      </c>
      <c r="C135" t="s">
        <v>9680</v>
      </c>
      <c r="D135">
        <v>2002</v>
      </c>
      <c r="E135" t="s">
        <v>9690</v>
      </c>
      <c r="F135" t="s">
        <v>74</v>
      </c>
    </row>
    <row r="136" spans="1:6" x14ac:dyDescent="0.15">
      <c r="A136" t="s">
        <v>7714</v>
      </c>
      <c r="C136" t="s">
        <v>7716</v>
      </c>
      <c r="D136">
        <v>2018</v>
      </c>
      <c r="E136" t="s">
        <v>7726</v>
      </c>
      <c r="F136">
        <v>29321591</v>
      </c>
    </row>
    <row r="137" spans="1:6" x14ac:dyDescent="0.15">
      <c r="A137" t="s">
        <v>10992</v>
      </c>
      <c r="C137" t="s">
        <v>10994</v>
      </c>
      <c r="D137">
        <v>2018</v>
      </c>
      <c r="E137" t="s">
        <v>11005</v>
      </c>
      <c r="F137">
        <v>29590649</v>
      </c>
    </row>
    <row r="138" spans="1:6" x14ac:dyDescent="0.15">
      <c r="A138" t="s">
        <v>2939</v>
      </c>
      <c r="C138" t="s">
        <v>2941</v>
      </c>
      <c r="D138">
        <v>2019</v>
      </c>
      <c r="E138" t="s">
        <v>2953</v>
      </c>
      <c r="F138" t="s">
        <v>74</v>
      </c>
    </row>
    <row r="139" spans="1:6" x14ac:dyDescent="0.15">
      <c r="A139" t="s">
        <v>2957</v>
      </c>
      <c r="C139" t="s">
        <v>2959</v>
      </c>
      <c r="D139">
        <v>2018</v>
      </c>
      <c r="E139" t="s">
        <v>2972</v>
      </c>
      <c r="F139">
        <v>29484678</v>
      </c>
    </row>
    <row r="140" spans="1:6" x14ac:dyDescent="0.15">
      <c r="A140" t="s">
        <v>7056</v>
      </c>
      <c r="C140" t="s">
        <v>7058</v>
      </c>
      <c r="D140">
        <v>2020</v>
      </c>
      <c r="E140" t="s">
        <v>7068</v>
      </c>
      <c r="F140">
        <v>31903745</v>
      </c>
    </row>
    <row r="141" spans="1:6" x14ac:dyDescent="0.15">
      <c r="A141" t="s">
        <v>8049</v>
      </c>
      <c r="C141" t="s">
        <v>8051</v>
      </c>
      <c r="D141">
        <v>2006</v>
      </c>
      <c r="E141" t="s">
        <v>8066</v>
      </c>
      <c r="F141">
        <v>16442705</v>
      </c>
    </row>
    <row r="142" spans="1:6" x14ac:dyDescent="0.15">
      <c r="A142" t="s">
        <v>1884</v>
      </c>
      <c r="C142" t="s">
        <v>1886</v>
      </c>
      <c r="D142">
        <v>2016</v>
      </c>
      <c r="E142" t="s">
        <v>1898</v>
      </c>
      <c r="F142">
        <v>26918437</v>
      </c>
    </row>
    <row r="143" spans="1:6" x14ac:dyDescent="0.15">
      <c r="A143" t="s">
        <v>8471</v>
      </c>
      <c r="C143" t="s">
        <v>8473</v>
      </c>
      <c r="D143">
        <v>2016</v>
      </c>
      <c r="E143" t="s">
        <v>8482</v>
      </c>
      <c r="F143">
        <v>27259562</v>
      </c>
    </row>
    <row r="144" spans="1:6" x14ac:dyDescent="0.15">
      <c r="A144" t="s">
        <v>10386</v>
      </c>
      <c r="C144" t="s">
        <v>10388</v>
      </c>
      <c r="D144">
        <v>2014</v>
      </c>
      <c r="E144" t="s">
        <v>10399</v>
      </c>
      <c r="F144">
        <v>24499465</v>
      </c>
    </row>
    <row r="145" spans="1:6" x14ac:dyDescent="0.15">
      <c r="A145" t="s">
        <v>1445</v>
      </c>
      <c r="C145" t="s">
        <v>1447</v>
      </c>
      <c r="D145">
        <v>2018</v>
      </c>
      <c r="E145" t="s">
        <v>1458</v>
      </c>
      <c r="F145">
        <v>30149804</v>
      </c>
    </row>
    <row r="146" spans="1:6" x14ac:dyDescent="0.15">
      <c r="A146" t="s">
        <v>3126</v>
      </c>
      <c r="C146" t="s">
        <v>3128</v>
      </c>
      <c r="D146">
        <v>2018</v>
      </c>
      <c r="E146" t="s">
        <v>3139</v>
      </c>
      <c r="F146">
        <v>29382201</v>
      </c>
    </row>
    <row r="147" spans="1:6" x14ac:dyDescent="0.15">
      <c r="A147" t="s">
        <v>5238</v>
      </c>
      <c r="C147" t="s">
        <v>5240</v>
      </c>
      <c r="D147">
        <v>2018</v>
      </c>
      <c r="E147" t="s">
        <v>5249</v>
      </c>
      <c r="F147">
        <v>29145073</v>
      </c>
    </row>
    <row r="148" spans="1:6" x14ac:dyDescent="0.15">
      <c r="A148" t="s">
        <v>10578</v>
      </c>
      <c r="C148" t="s">
        <v>10580</v>
      </c>
      <c r="D148">
        <v>2019</v>
      </c>
      <c r="E148" t="s">
        <v>10590</v>
      </c>
      <c r="F148">
        <v>30736860</v>
      </c>
    </row>
    <row r="149" spans="1:6" x14ac:dyDescent="0.15">
      <c r="A149" t="s">
        <v>8971</v>
      </c>
      <c r="C149" t="s">
        <v>8973</v>
      </c>
      <c r="D149">
        <v>2017</v>
      </c>
      <c r="E149" t="s">
        <v>8983</v>
      </c>
      <c r="F149">
        <v>28724791</v>
      </c>
    </row>
    <row r="150" spans="1:6" x14ac:dyDescent="0.15">
      <c r="A150" t="s">
        <v>7639</v>
      </c>
      <c r="C150" t="s">
        <v>7640</v>
      </c>
      <c r="D150">
        <v>2001</v>
      </c>
      <c r="E150" t="s">
        <v>7649</v>
      </c>
      <c r="F150">
        <v>11746262</v>
      </c>
    </row>
    <row r="151" spans="1:6" x14ac:dyDescent="0.15">
      <c r="A151" t="s">
        <v>7946</v>
      </c>
      <c r="C151" t="s">
        <v>7948</v>
      </c>
      <c r="D151">
        <v>2018</v>
      </c>
      <c r="E151" t="s">
        <v>7959</v>
      </c>
      <c r="F151">
        <v>29371474</v>
      </c>
    </row>
    <row r="152" spans="1:6" x14ac:dyDescent="0.15">
      <c r="A152" t="s">
        <v>7934</v>
      </c>
      <c r="C152" t="s">
        <v>7935</v>
      </c>
      <c r="D152">
        <v>1999</v>
      </c>
      <c r="E152" t="s">
        <v>7943</v>
      </c>
      <c r="F152">
        <v>10373306</v>
      </c>
    </row>
    <row r="153" spans="1:6" x14ac:dyDescent="0.15">
      <c r="A153" t="s">
        <v>9353</v>
      </c>
      <c r="C153" t="s">
        <v>9354</v>
      </c>
      <c r="D153">
        <v>2005</v>
      </c>
      <c r="E153" t="s">
        <v>9366</v>
      </c>
      <c r="F153">
        <v>15659066</v>
      </c>
    </row>
    <row r="154" spans="1:6" x14ac:dyDescent="0.15">
      <c r="A154" t="s">
        <v>9547</v>
      </c>
      <c r="C154" t="s">
        <v>9549</v>
      </c>
      <c r="D154">
        <v>2018</v>
      </c>
      <c r="E154" t="s">
        <v>9562</v>
      </c>
      <c r="F154">
        <v>30085333</v>
      </c>
    </row>
    <row r="155" spans="1:6" x14ac:dyDescent="0.15">
      <c r="A155" t="s">
        <v>6582</v>
      </c>
      <c r="C155" t="s">
        <v>6584</v>
      </c>
      <c r="D155">
        <v>2017</v>
      </c>
      <c r="E155" t="s">
        <v>74</v>
      </c>
      <c r="F155">
        <v>28469765</v>
      </c>
    </row>
    <row r="156" spans="1:6" x14ac:dyDescent="0.15">
      <c r="A156" t="s">
        <v>10251</v>
      </c>
      <c r="C156" t="s">
        <v>10253</v>
      </c>
      <c r="D156">
        <v>2014</v>
      </c>
      <c r="E156" t="s">
        <v>10265</v>
      </c>
      <c r="F156">
        <v>24569769</v>
      </c>
    </row>
    <row r="157" spans="1:6" x14ac:dyDescent="0.15">
      <c r="A157" t="s">
        <v>5211</v>
      </c>
      <c r="C157" t="s">
        <v>5213</v>
      </c>
      <c r="D157">
        <v>2014</v>
      </c>
      <c r="E157" t="s">
        <v>5223</v>
      </c>
      <c r="F157">
        <v>24458310</v>
      </c>
    </row>
    <row r="158" spans="1:6" x14ac:dyDescent="0.15">
      <c r="A158" t="s">
        <v>5507</v>
      </c>
      <c r="C158" t="s">
        <v>5509</v>
      </c>
      <c r="D158">
        <v>2018</v>
      </c>
      <c r="E158" t="s">
        <v>5516</v>
      </c>
      <c r="F158" t="s">
        <v>74</v>
      </c>
    </row>
    <row r="159" spans="1:6" x14ac:dyDescent="0.15">
      <c r="A159" t="s">
        <v>221</v>
      </c>
      <c r="C159" t="s">
        <v>223</v>
      </c>
      <c r="D159">
        <v>2015</v>
      </c>
      <c r="E159" t="s">
        <v>237</v>
      </c>
      <c r="F159">
        <v>26126838</v>
      </c>
    </row>
    <row r="160" spans="1:6" x14ac:dyDescent="0.15">
      <c r="A160" t="s">
        <v>1840</v>
      </c>
      <c r="C160" t="s">
        <v>1842</v>
      </c>
      <c r="D160">
        <v>2018</v>
      </c>
      <c r="E160" t="s">
        <v>1851</v>
      </c>
      <c r="F160">
        <v>30595972</v>
      </c>
    </row>
    <row r="161" spans="1:6" x14ac:dyDescent="0.15">
      <c r="A161" t="s">
        <v>3531</v>
      </c>
      <c r="C161" t="s">
        <v>3533</v>
      </c>
      <c r="D161">
        <v>2018</v>
      </c>
      <c r="E161" t="s">
        <v>3548</v>
      </c>
      <c r="F161">
        <v>30088371</v>
      </c>
    </row>
    <row r="162" spans="1:6" x14ac:dyDescent="0.15">
      <c r="A162" t="s">
        <v>9842</v>
      </c>
      <c r="C162" t="s">
        <v>9844</v>
      </c>
      <c r="D162">
        <v>2009</v>
      </c>
      <c r="E162" t="s">
        <v>9855</v>
      </c>
      <c r="F162">
        <v>19532123</v>
      </c>
    </row>
    <row r="163" spans="1:6" x14ac:dyDescent="0.15">
      <c r="A163" t="s">
        <v>664</v>
      </c>
      <c r="C163" t="s">
        <v>666</v>
      </c>
      <c r="D163">
        <v>2019</v>
      </c>
      <c r="E163" t="s">
        <v>679</v>
      </c>
      <c r="F163">
        <v>31091653</v>
      </c>
    </row>
    <row r="164" spans="1:6" x14ac:dyDescent="0.15">
      <c r="A164" t="s">
        <v>1780</v>
      </c>
      <c r="C164" t="s">
        <v>1782</v>
      </c>
      <c r="D164">
        <v>2018</v>
      </c>
      <c r="E164" t="s">
        <v>1794</v>
      </c>
      <c r="F164">
        <v>30339193</v>
      </c>
    </row>
    <row r="165" spans="1:6" x14ac:dyDescent="0.15">
      <c r="A165" t="s">
        <v>3965</v>
      </c>
      <c r="C165" t="s">
        <v>3967</v>
      </c>
      <c r="D165">
        <v>2019</v>
      </c>
      <c r="E165" t="s">
        <v>3977</v>
      </c>
      <c r="F165">
        <v>31235776</v>
      </c>
    </row>
    <row r="166" spans="1:6" x14ac:dyDescent="0.15">
      <c r="A166" t="s">
        <v>7579</v>
      </c>
      <c r="C166" t="s">
        <v>7581</v>
      </c>
      <c r="D166">
        <v>2011</v>
      </c>
      <c r="E166" t="s">
        <v>7588</v>
      </c>
      <c r="F166">
        <v>21638509</v>
      </c>
    </row>
    <row r="167" spans="1:6" x14ac:dyDescent="0.15">
      <c r="A167" t="s">
        <v>8186</v>
      </c>
      <c r="C167" t="s">
        <v>8188</v>
      </c>
      <c r="D167">
        <v>2019</v>
      </c>
      <c r="E167" t="s">
        <v>8197</v>
      </c>
      <c r="F167">
        <v>31057302</v>
      </c>
    </row>
    <row r="168" spans="1:6" x14ac:dyDescent="0.15">
      <c r="A168" t="s">
        <v>10718</v>
      </c>
      <c r="C168" t="s">
        <v>10720</v>
      </c>
      <c r="D168">
        <v>2019</v>
      </c>
      <c r="E168" t="s">
        <v>10732</v>
      </c>
      <c r="F168">
        <v>30858545</v>
      </c>
    </row>
    <row r="169" spans="1:6" x14ac:dyDescent="0.15">
      <c r="A169" t="s">
        <v>174</v>
      </c>
      <c r="C169" t="s">
        <v>176</v>
      </c>
      <c r="D169">
        <v>2018</v>
      </c>
      <c r="E169" t="s">
        <v>187</v>
      </c>
      <c r="F169">
        <v>29374476</v>
      </c>
    </row>
    <row r="170" spans="1:6" x14ac:dyDescent="0.15">
      <c r="A170" t="s">
        <v>2010</v>
      </c>
      <c r="C170" t="s">
        <v>2012</v>
      </c>
      <c r="D170">
        <v>2019</v>
      </c>
      <c r="E170" t="s">
        <v>2025</v>
      </c>
      <c r="F170">
        <v>30644724</v>
      </c>
    </row>
    <row r="171" spans="1:6" x14ac:dyDescent="0.15">
      <c r="A171" t="s">
        <v>3359</v>
      </c>
      <c r="C171" t="s">
        <v>3361</v>
      </c>
      <c r="D171">
        <v>2019</v>
      </c>
      <c r="E171" t="s">
        <v>3369</v>
      </c>
      <c r="F171">
        <v>30604797</v>
      </c>
    </row>
    <row r="172" spans="1:6" x14ac:dyDescent="0.15">
      <c r="A172" t="s">
        <v>4417</v>
      </c>
      <c r="C172" t="s">
        <v>4420</v>
      </c>
      <c r="D172">
        <v>2016</v>
      </c>
      <c r="E172" t="s">
        <v>4429</v>
      </c>
      <c r="F172">
        <v>26667458</v>
      </c>
    </row>
    <row r="173" spans="1:6" x14ac:dyDescent="0.15">
      <c r="A173" t="s">
        <v>5415</v>
      </c>
      <c r="C173" t="s">
        <v>5417</v>
      </c>
      <c r="D173">
        <v>2013</v>
      </c>
      <c r="E173" t="s">
        <v>5428</v>
      </c>
      <c r="F173">
        <v>23590857</v>
      </c>
    </row>
    <row r="174" spans="1:6" x14ac:dyDescent="0.15">
      <c r="A174" t="s">
        <v>4592</v>
      </c>
      <c r="C174" t="s">
        <v>4594</v>
      </c>
      <c r="D174">
        <v>2018</v>
      </c>
      <c r="E174" t="s">
        <v>4604</v>
      </c>
      <c r="F174">
        <v>29715009</v>
      </c>
    </row>
    <row r="175" spans="1:6" x14ac:dyDescent="0.15">
      <c r="A175" t="s">
        <v>5545</v>
      </c>
      <c r="C175" t="s">
        <v>5547</v>
      </c>
      <c r="D175">
        <v>2018</v>
      </c>
      <c r="E175" t="s">
        <v>5557</v>
      </c>
      <c r="F175">
        <v>30139385</v>
      </c>
    </row>
    <row r="176" spans="1:6" x14ac:dyDescent="0.15">
      <c r="A176" t="s">
        <v>6452</v>
      </c>
      <c r="C176" t="s">
        <v>6454</v>
      </c>
      <c r="D176">
        <v>2018</v>
      </c>
      <c r="E176" t="s">
        <v>6466</v>
      </c>
      <c r="F176">
        <v>29769179</v>
      </c>
    </row>
    <row r="177" spans="1:6" x14ac:dyDescent="0.15">
      <c r="A177" t="s">
        <v>9481</v>
      </c>
      <c r="C177" t="s">
        <v>9482</v>
      </c>
      <c r="D177">
        <v>1997</v>
      </c>
      <c r="E177" t="s">
        <v>74</v>
      </c>
      <c r="F177">
        <v>9326278</v>
      </c>
    </row>
    <row r="178" spans="1:6" x14ac:dyDescent="0.15">
      <c r="A178" t="s">
        <v>529</v>
      </c>
      <c r="C178" t="s">
        <v>531</v>
      </c>
      <c r="D178">
        <v>2017</v>
      </c>
      <c r="E178" t="s">
        <v>544</v>
      </c>
      <c r="F178">
        <v>28117819</v>
      </c>
    </row>
    <row r="179" spans="1:6" x14ac:dyDescent="0.15">
      <c r="A179" t="s">
        <v>3499</v>
      </c>
      <c r="C179" t="s">
        <v>3501</v>
      </c>
      <c r="D179">
        <v>2018</v>
      </c>
      <c r="E179" t="s">
        <v>3515</v>
      </c>
      <c r="F179">
        <v>30206166</v>
      </c>
    </row>
    <row r="180" spans="1:6" x14ac:dyDescent="0.15">
      <c r="A180" t="s">
        <v>6724</v>
      </c>
      <c r="C180" t="s">
        <v>6726</v>
      </c>
      <c r="D180">
        <v>2021</v>
      </c>
      <c r="E180" t="s">
        <v>6733</v>
      </c>
      <c r="F180">
        <v>33369394</v>
      </c>
    </row>
    <row r="181" spans="1:6" x14ac:dyDescent="0.15">
      <c r="A181" t="s">
        <v>6851</v>
      </c>
      <c r="C181" t="s">
        <v>6853</v>
      </c>
      <c r="D181">
        <v>2019</v>
      </c>
      <c r="E181" t="s">
        <v>6865</v>
      </c>
      <c r="F181">
        <v>31086892</v>
      </c>
    </row>
    <row r="182" spans="1:6" x14ac:dyDescent="0.15">
      <c r="A182" t="s">
        <v>7084</v>
      </c>
      <c r="C182" t="s">
        <v>7086</v>
      </c>
      <c r="D182">
        <v>2019</v>
      </c>
      <c r="E182" t="s">
        <v>7101</v>
      </c>
      <c r="F182">
        <v>31053596</v>
      </c>
    </row>
    <row r="183" spans="1:6" x14ac:dyDescent="0.15">
      <c r="A183" t="s">
        <v>8390</v>
      </c>
      <c r="C183" t="s">
        <v>8392</v>
      </c>
      <c r="D183">
        <v>2017</v>
      </c>
      <c r="E183" t="s">
        <v>8406</v>
      </c>
      <c r="F183">
        <v>28722786</v>
      </c>
    </row>
    <row r="184" spans="1:6" x14ac:dyDescent="0.15">
      <c r="A184" t="s">
        <v>9278</v>
      </c>
      <c r="C184" t="s">
        <v>9280</v>
      </c>
      <c r="D184">
        <v>2018</v>
      </c>
      <c r="E184" t="s">
        <v>9296</v>
      </c>
      <c r="F184">
        <v>30034830</v>
      </c>
    </row>
    <row r="185" spans="1:6" x14ac:dyDescent="0.15">
      <c r="A185" t="s">
        <v>10029</v>
      </c>
      <c r="C185" t="s">
        <v>10031</v>
      </c>
      <c r="D185">
        <v>2011</v>
      </c>
      <c r="E185" t="s">
        <v>10043</v>
      </c>
      <c r="F185">
        <v>21893226</v>
      </c>
    </row>
    <row r="186" spans="1:6" x14ac:dyDescent="0.15">
      <c r="A186" t="s">
        <v>1621</v>
      </c>
      <c r="C186" t="s">
        <v>1623</v>
      </c>
      <c r="D186">
        <v>2018</v>
      </c>
      <c r="E186" t="s">
        <v>1634</v>
      </c>
      <c r="F186">
        <v>29971917</v>
      </c>
    </row>
    <row r="187" spans="1:6" x14ac:dyDescent="0.15">
      <c r="A187" t="s">
        <v>4146</v>
      </c>
      <c r="C187" t="s">
        <v>4148</v>
      </c>
      <c r="D187">
        <v>2020</v>
      </c>
      <c r="E187" t="s">
        <v>4157</v>
      </c>
      <c r="F187">
        <v>32671095</v>
      </c>
    </row>
    <row r="188" spans="1:6" x14ac:dyDescent="0.15">
      <c r="A188" t="s">
        <v>1947</v>
      </c>
      <c r="C188" t="s">
        <v>1949</v>
      </c>
      <c r="D188">
        <v>2017</v>
      </c>
      <c r="E188" t="s">
        <v>1962</v>
      </c>
      <c r="F188">
        <v>28854931</v>
      </c>
    </row>
    <row r="189" spans="1:6" x14ac:dyDescent="0.15">
      <c r="A189" t="s">
        <v>2355</v>
      </c>
      <c r="C189" t="s">
        <v>2357</v>
      </c>
      <c r="D189">
        <v>2019</v>
      </c>
      <c r="E189" t="s">
        <v>2370</v>
      </c>
      <c r="F189">
        <v>30620023</v>
      </c>
    </row>
    <row r="190" spans="1:6" x14ac:dyDescent="0.15">
      <c r="A190" t="s">
        <v>3402</v>
      </c>
      <c r="C190" t="s">
        <v>3404</v>
      </c>
      <c r="D190">
        <v>2017</v>
      </c>
      <c r="E190" t="s">
        <v>3414</v>
      </c>
      <c r="F190">
        <v>28694699</v>
      </c>
    </row>
    <row r="191" spans="1:6" x14ac:dyDescent="0.15">
      <c r="A191" t="s">
        <v>3846</v>
      </c>
      <c r="C191" t="s">
        <v>3848</v>
      </c>
      <c r="D191">
        <v>2019</v>
      </c>
      <c r="E191" t="s">
        <v>3859</v>
      </c>
      <c r="F191">
        <v>31478613</v>
      </c>
    </row>
    <row r="192" spans="1:6" x14ac:dyDescent="0.15">
      <c r="A192" t="s">
        <v>6135</v>
      </c>
      <c r="C192" t="s">
        <v>6137</v>
      </c>
      <c r="D192">
        <v>2017</v>
      </c>
      <c r="E192" t="s">
        <v>6150</v>
      </c>
      <c r="F192">
        <v>28470712</v>
      </c>
    </row>
    <row r="193" spans="1:6" x14ac:dyDescent="0.15">
      <c r="A193" t="s">
        <v>7809</v>
      </c>
      <c r="C193" t="s">
        <v>7811</v>
      </c>
      <c r="D193">
        <v>2018</v>
      </c>
      <c r="E193" t="s">
        <v>7819</v>
      </c>
      <c r="F193">
        <v>29750752</v>
      </c>
    </row>
    <row r="194" spans="1:6" x14ac:dyDescent="0.15">
      <c r="A194" t="s">
        <v>8933</v>
      </c>
      <c r="C194" t="s">
        <v>8935</v>
      </c>
      <c r="D194">
        <v>2018</v>
      </c>
      <c r="E194" t="s">
        <v>8948</v>
      </c>
      <c r="F194">
        <v>29759067</v>
      </c>
    </row>
    <row r="195" spans="1:6" x14ac:dyDescent="0.15">
      <c r="A195" t="s">
        <v>10735</v>
      </c>
      <c r="C195" t="s">
        <v>10737</v>
      </c>
      <c r="D195">
        <v>2011</v>
      </c>
      <c r="E195" t="s">
        <v>10747</v>
      </c>
      <c r="F195">
        <v>21370216</v>
      </c>
    </row>
    <row r="196" spans="1:6" x14ac:dyDescent="0.15">
      <c r="A196" t="s">
        <v>3430</v>
      </c>
      <c r="C196" t="s">
        <v>3432</v>
      </c>
      <c r="D196">
        <v>2017</v>
      </c>
      <c r="E196" t="s">
        <v>3442</v>
      </c>
      <c r="F196">
        <v>28811546</v>
      </c>
    </row>
    <row r="197" spans="1:6" x14ac:dyDescent="0.15">
      <c r="A197" t="s">
        <v>3517</v>
      </c>
      <c r="C197" t="s">
        <v>3519</v>
      </c>
      <c r="D197">
        <v>2019</v>
      </c>
      <c r="E197" t="s">
        <v>3529</v>
      </c>
      <c r="F197">
        <v>31017389</v>
      </c>
    </row>
    <row r="198" spans="1:6" x14ac:dyDescent="0.15">
      <c r="A198" t="s">
        <v>4083</v>
      </c>
      <c r="C198" t="s">
        <v>4085</v>
      </c>
      <c r="D198">
        <v>2016</v>
      </c>
      <c r="E198" t="s">
        <v>4098</v>
      </c>
      <c r="F198">
        <v>26846451</v>
      </c>
    </row>
    <row r="199" spans="1:6" x14ac:dyDescent="0.15">
      <c r="A199" t="s">
        <v>4432</v>
      </c>
      <c r="C199" t="s">
        <v>4434</v>
      </c>
      <c r="D199">
        <v>2020</v>
      </c>
      <c r="E199" t="s">
        <v>4442</v>
      </c>
      <c r="F199">
        <v>32929347</v>
      </c>
    </row>
    <row r="200" spans="1:6" x14ac:dyDescent="0.15">
      <c r="A200" t="s">
        <v>6997</v>
      </c>
      <c r="C200" t="s">
        <v>6999</v>
      </c>
      <c r="D200">
        <v>2018</v>
      </c>
      <c r="E200" t="s">
        <v>7007</v>
      </c>
      <c r="F200">
        <v>29712935</v>
      </c>
    </row>
    <row r="201" spans="1:6" x14ac:dyDescent="0.15">
      <c r="A201" t="s">
        <v>10821</v>
      </c>
      <c r="C201" t="s">
        <v>10823</v>
      </c>
      <c r="D201">
        <v>2010</v>
      </c>
      <c r="E201" t="s">
        <v>10836</v>
      </c>
      <c r="F201">
        <v>20390294</v>
      </c>
    </row>
    <row r="202" spans="1:6" x14ac:dyDescent="0.15">
      <c r="A202" t="s">
        <v>773</v>
      </c>
      <c r="C202" t="s">
        <v>775</v>
      </c>
      <c r="D202">
        <v>2019</v>
      </c>
      <c r="E202" t="s">
        <v>784</v>
      </c>
      <c r="F202">
        <v>31475741</v>
      </c>
    </row>
    <row r="203" spans="1:6" x14ac:dyDescent="0.15">
      <c r="A203" t="s">
        <v>9912</v>
      </c>
      <c r="C203" t="s">
        <v>9914</v>
      </c>
      <c r="D203">
        <v>2020</v>
      </c>
      <c r="E203" t="s">
        <v>9922</v>
      </c>
      <c r="F203">
        <v>32883873</v>
      </c>
    </row>
    <row r="204" spans="1:6" x14ac:dyDescent="0.15">
      <c r="A204" t="s">
        <v>10880</v>
      </c>
      <c r="C204" t="s">
        <v>10882</v>
      </c>
      <c r="D204">
        <v>2016</v>
      </c>
      <c r="E204" t="s">
        <v>10893</v>
      </c>
      <c r="F204">
        <v>26614026</v>
      </c>
    </row>
    <row r="205" spans="1:6" x14ac:dyDescent="0.15">
      <c r="A205" t="s">
        <v>2802</v>
      </c>
      <c r="C205" t="s">
        <v>2804</v>
      </c>
      <c r="D205">
        <v>2020</v>
      </c>
      <c r="E205" t="s">
        <v>2815</v>
      </c>
      <c r="F205">
        <v>32134252</v>
      </c>
    </row>
    <row r="206" spans="1:6" x14ac:dyDescent="0.15">
      <c r="A206" t="s">
        <v>3779</v>
      </c>
      <c r="C206" t="s">
        <v>3781</v>
      </c>
      <c r="D206">
        <v>2017</v>
      </c>
      <c r="E206" t="s">
        <v>3792</v>
      </c>
      <c r="F206">
        <v>29130146</v>
      </c>
    </row>
    <row r="207" spans="1:6" x14ac:dyDescent="0.15">
      <c r="A207" t="s">
        <v>4879</v>
      </c>
      <c r="C207" t="s">
        <v>4881</v>
      </c>
      <c r="D207">
        <v>2020</v>
      </c>
      <c r="E207" t="s">
        <v>4893</v>
      </c>
      <c r="F207">
        <v>32600436</v>
      </c>
    </row>
    <row r="208" spans="1:6" x14ac:dyDescent="0.15">
      <c r="A208" t="s">
        <v>5685</v>
      </c>
      <c r="C208" t="s">
        <v>5687</v>
      </c>
      <c r="D208">
        <v>2020</v>
      </c>
      <c r="E208" t="s">
        <v>5697</v>
      </c>
      <c r="F208">
        <v>33169756</v>
      </c>
    </row>
    <row r="209" spans="1:6" x14ac:dyDescent="0.15">
      <c r="A209" t="s">
        <v>7070</v>
      </c>
      <c r="C209" t="s">
        <v>7072</v>
      </c>
      <c r="D209">
        <v>2019</v>
      </c>
      <c r="E209" t="s">
        <v>7082</v>
      </c>
      <c r="F209">
        <v>30536653</v>
      </c>
    </row>
    <row r="210" spans="1:6" x14ac:dyDescent="0.15">
      <c r="A210" t="s">
        <v>7207</v>
      </c>
      <c r="C210" t="s">
        <v>7209</v>
      </c>
      <c r="D210">
        <v>2017</v>
      </c>
      <c r="E210" t="s">
        <v>7220</v>
      </c>
      <c r="F210">
        <v>28368488</v>
      </c>
    </row>
    <row r="211" spans="1:6" x14ac:dyDescent="0.15">
      <c r="A211" t="s">
        <v>7240</v>
      </c>
      <c r="C211" t="s">
        <v>7242</v>
      </c>
      <c r="D211">
        <v>2015</v>
      </c>
      <c r="E211" t="s">
        <v>7256</v>
      </c>
      <c r="F211">
        <v>26556992</v>
      </c>
    </row>
    <row r="212" spans="1:6" x14ac:dyDescent="0.15">
      <c r="A212" t="s">
        <v>8554</v>
      </c>
      <c r="C212" t="s">
        <v>8556</v>
      </c>
      <c r="D212">
        <v>2018</v>
      </c>
      <c r="E212" t="s">
        <v>8564</v>
      </c>
      <c r="F212">
        <v>30279572</v>
      </c>
    </row>
    <row r="213" spans="1:6" x14ac:dyDescent="0.15">
      <c r="A213" t="s">
        <v>9340</v>
      </c>
      <c r="C213" t="s">
        <v>9342</v>
      </c>
      <c r="D213">
        <v>2017</v>
      </c>
      <c r="E213" t="s">
        <v>9351</v>
      </c>
      <c r="F213">
        <v>27681879</v>
      </c>
    </row>
    <row r="214" spans="1:6" x14ac:dyDescent="0.15">
      <c r="A214" t="s">
        <v>9814</v>
      </c>
      <c r="C214" t="s">
        <v>9816</v>
      </c>
      <c r="D214">
        <v>2016</v>
      </c>
      <c r="E214" t="s">
        <v>9827</v>
      </c>
      <c r="F214">
        <v>27611973</v>
      </c>
    </row>
    <row r="215" spans="1:6" x14ac:dyDescent="0.15">
      <c r="A215" t="s">
        <v>9893</v>
      </c>
      <c r="C215" t="s">
        <v>9894</v>
      </c>
      <c r="D215">
        <v>1994</v>
      </c>
      <c r="E215" t="s">
        <v>9899</v>
      </c>
      <c r="F215">
        <v>8021295</v>
      </c>
    </row>
    <row r="216" spans="1:6" x14ac:dyDescent="0.15">
      <c r="A216" t="s">
        <v>5699</v>
      </c>
      <c r="C216" t="s">
        <v>5701</v>
      </c>
      <c r="D216">
        <v>2020</v>
      </c>
      <c r="E216" t="s">
        <v>5710</v>
      </c>
      <c r="F216">
        <v>32738648</v>
      </c>
    </row>
    <row r="217" spans="1:6" x14ac:dyDescent="0.15">
      <c r="A217" t="s">
        <v>6076</v>
      </c>
      <c r="C217" t="s">
        <v>6078</v>
      </c>
      <c r="D217">
        <v>2019</v>
      </c>
      <c r="E217" t="s">
        <v>6089</v>
      </c>
      <c r="F217">
        <v>31002856</v>
      </c>
    </row>
    <row r="218" spans="1:6" x14ac:dyDescent="0.15">
      <c r="A218" t="s">
        <v>6389</v>
      </c>
      <c r="C218" t="s">
        <v>6391</v>
      </c>
      <c r="D218">
        <v>2015</v>
      </c>
      <c r="E218" t="s">
        <v>6400</v>
      </c>
      <c r="F218">
        <v>25391690</v>
      </c>
    </row>
    <row r="219" spans="1:6" x14ac:dyDescent="0.15">
      <c r="A219" t="s">
        <v>9224</v>
      </c>
      <c r="C219" t="s">
        <v>9225</v>
      </c>
      <c r="D219">
        <v>2000</v>
      </c>
      <c r="E219" t="s">
        <v>9237</v>
      </c>
      <c r="F219">
        <v>10907991</v>
      </c>
    </row>
    <row r="220" spans="1:6" x14ac:dyDescent="0.15">
      <c r="A220" t="s">
        <v>10451</v>
      </c>
      <c r="C220" t="s">
        <v>10452</v>
      </c>
      <c r="D220">
        <v>1995</v>
      </c>
      <c r="E220" t="s">
        <v>10461</v>
      </c>
      <c r="F220">
        <v>8525613</v>
      </c>
    </row>
    <row r="221" spans="1:6" x14ac:dyDescent="0.15">
      <c r="A221" t="s">
        <v>2260</v>
      </c>
      <c r="C221" t="s">
        <v>2262</v>
      </c>
      <c r="D221">
        <v>2018</v>
      </c>
      <c r="E221" t="s">
        <v>2275</v>
      </c>
      <c r="F221">
        <v>29997623</v>
      </c>
    </row>
    <row r="222" spans="1:6" x14ac:dyDescent="0.15">
      <c r="A222" t="s">
        <v>7682</v>
      </c>
      <c r="C222" t="s">
        <v>7684</v>
      </c>
      <c r="D222">
        <v>2017</v>
      </c>
      <c r="E222" t="s">
        <v>7694</v>
      </c>
      <c r="F222">
        <v>28218293</v>
      </c>
    </row>
    <row r="223" spans="1:6" x14ac:dyDescent="0.15">
      <c r="A223" t="s">
        <v>9178</v>
      </c>
      <c r="C223" t="s">
        <v>9180</v>
      </c>
      <c r="D223">
        <v>2016</v>
      </c>
      <c r="E223" t="s">
        <v>9191</v>
      </c>
      <c r="F223">
        <v>26530043</v>
      </c>
    </row>
    <row r="224" spans="1:6" x14ac:dyDescent="0.15">
      <c r="A224" t="s">
        <v>6184</v>
      </c>
      <c r="C224" t="s">
        <v>6186</v>
      </c>
      <c r="D224">
        <v>2020</v>
      </c>
      <c r="E224" t="s">
        <v>6195</v>
      </c>
      <c r="F224">
        <v>32299821</v>
      </c>
    </row>
    <row r="225" spans="1:6" x14ac:dyDescent="0.15">
      <c r="A225" t="s">
        <v>9239</v>
      </c>
      <c r="C225" t="s">
        <v>9241</v>
      </c>
      <c r="D225">
        <v>2021</v>
      </c>
      <c r="E225" t="s">
        <v>9250</v>
      </c>
      <c r="F225">
        <v>34112774</v>
      </c>
    </row>
    <row r="226" spans="1:6" x14ac:dyDescent="0.15">
      <c r="A226" t="s">
        <v>1389</v>
      </c>
      <c r="C226" t="s">
        <v>1391</v>
      </c>
      <c r="D226">
        <v>2019</v>
      </c>
      <c r="E226" t="s">
        <v>1406</v>
      </c>
      <c r="F226">
        <v>31198995</v>
      </c>
    </row>
    <row r="227" spans="1:6" x14ac:dyDescent="0.15">
      <c r="A227" t="s">
        <v>4004</v>
      </c>
      <c r="C227" t="s">
        <v>4006</v>
      </c>
      <c r="D227">
        <v>2016</v>
      </c>
      <c r="E227" t="s">
        <v>4017</v>
      </c>
      <c r="F227">
        <v>27652382</v>
      </c>
    </row>
    <row r="228" spans="1:6" x14ac:dyDescent="0.15">
      <c r="A228" t="s">
        <v>4606</v>
      </c>
      <c r="C228" t="s">
        <v>4608</v>
      </c>
      <c r="D228">
        <v>2017</v>
      </c>
      <c r="E228" t="s">
        <v>4616</v>
      </c>
      <c r="F228">
        <v>28521461</v>
      </c>
    </row>
    <row r="229" spans="1:6" x14ac:dyDescent="0.15">
      <c r="A229" t="s">
        <v>5864</v>
      </c>
      <c r="C229" t="s">
        <v>5866</v>
      </c>
      <c r="D229">
        <v>2017</v>
      </c>
      <c r="E229" t="s">
        <v>5879</v>
      </c>
      <c r="F229">
        <v>28592925</v>
      </c>
    </row>
    <row r="230" spans="1:6" x14ac:dyDescent="0.15">
      <c r="A230" t="s">
        <v>6002</v>
      </c>
      <c r="C230" t="s">
        <v>6004</v>
      </c>
      <c r="D230">
        <v>2020</v>
      </c>
      <c r="E230" t="s">
        <v>6017</v>
      </c>
      <c r="F230">
        <v>32315358</v>
      </c>
    </row>
    <row r="231" spans="1:6" x14ac:dyDescent="0.15">
      <c r="A231" t="s">
        <v>7668</v>
      </c>
      <c r="C231" t="s">
        <v>7670</v>
      </c>
      <c r="D231">
        <v>2016</v>
      </c>
      <c r="E231" t="s">
        <v>7680</v>
      </c>
      <c r="F231">
        <v>27092489</v>
      </c>
    </row>
    <row r="232" spans="1:6" x14ac:dyDescent="0.15">
      <c r="A232" t="s">
        <v>8087</v>
      </c>
      <c r="C232" t="s">
        <v>8089</v>
      </c>
      <c r="D232">
        <v>2020</v>
      </c>
      <c r="E232" t="s">
        <v>8096</v>
      </c>
      <c r="F232">
        <v>32255115</v>
      </c>
    </row>
    <row r="233" spans="1:6" x14ac:dyDescent="0.15">
      <c r="A233" t="s">
        <v>8641</v>
      </c>
      <c r="C233" t="s">
        <v>8643</v>
      </c>
      <c r="D233">
        <v>2018</v>
      </c>
      <c r="E233" t="s">
        <v>8657</v>
      </c>
      <c r="F233">
        <v>30033809</v>
      </c>
    </row>
    <row r="234" spans="1:6" x14ac:dyDescent="0.15">
      <c r="A234" t="s">
        <v>10295</v>
      </c>
      <c r="C234" t="s">
        <v>10296</v>
      </c>
      <c r="D234">
        <v>1991</v>
      </c>
      <c r="E234" t="s">
        <v>10303</v>
      </c>
      <c r="F234">
        <v>1985097</v>
      </c>
    </row>
    <row r="235" spans="1:6" x14ac:dyDescent="0.15">
      <c r="A235" t="s">
        <v>1929</v>
      </c>
      <c r="C235" t="s">
        <v>1931</v>
      </c>
      <c r="D235">
        <v>2017</v>
      </c>
      <c r="E235" t="s">
        <v>1943</v>
      </c>
      <c r="F235">
        <v>29093639</v>
      </c>
    </row>
    <row r="236" spans="1:6" x14ac:dyDescent="0.15">
      <c r="A236" t="s">
        <v>3202</v>
      </c>
      <c r="C236" t="s">
        <v>3204</v>
      </c>
      <c r="D236">
        <v>2018</v>
      </c>
      <c r="E236" t="s">
        <v>3217</v>
      </c>
      <c r="F236">
        <v>29533121</v>
      </c>
    </row>
    <row r="237" spans="1:6" x14ac:dyDescent="0.15">
      <c r="A237" t="s">
        <v>3875</v>
      </c>
      <c r="C237" t="s">
        <v>3877</v>
      </c>
      <c r="D237">
        <v>2020</v>
      </c>
      <c r="E237" t="s">
        <v>3886</v>
      </c>
      <c r="F237">
        <v>31892034</v>
      </c>
    </row>
    <row r="238" spans="1:6" x14ac:dyDescent="0.15">
      <c r="A238" t="s">
        <v>5263</v>
      </c>
      <c r="C238" t="s">
        <v>5265</v>
      </c>
      <c r="D238">
        <v>2018</v>
      </c>
      <c r="E238" t="s">
        <v>5273</v>
      </c>
      <c r="F238">
        <v>30254196</v>
      </c>
    </row>
    <row r="239" spans="1:6" x14ac:dyDescent="0.15">
      <c r="A239" t="s">
        <v>6265</v>
      </c>
      <c r="C239" t="s">
        <v>6267</v>
      </c>
      <c r="D239">
        <v>2019</v>
      </c>
      <c r="E239" t="s">
        <v>6278</v>
      </c>
      <c r="F239">
        <v>30411781</v>
      </c>
    </row>
    <row r="240" spans="1:6" x14ac:dyDescent="0.15">
      <c r="A240" t="s">
        <v>9996</v>
      </c>
      <c r="C240" t="s">
        <v>9999</v>
      </c>
      <c r="D240">
        <v>2018</v>
      </c>
      <c r="E240" t="s">
        <v>10011</v>
      </c>
      <c r="F240">
        <v>29434051</v>
      </c>
    </row>
    <row r="241" spans="1:6" x14ac:dyDescent="0.15">
      <c r="A241" t="s">
        <v>2431</v>
      </c>
      <c r="C241" t="s">
        <v>2434</v>
      </c>
      <c r="D241">
        <v>2011</v>
      </c>
      <c r="E241" t="s">
        <v>2443</v>
      </c>
      <c r="F241">
        <v>21506015</v>
      </c>
    </row>
    <row r="242" spans="1:6" x14ac:dyDescent="0.15">
      <c r="A242" t="s">
        <v>4779</v>
      </c>
      <c r="C242" t="s">
        <v>4781</v>
      </c>
      <c r="D242">
        <v>2016</v>
      </c>
      <c r="E242" t="s">
        <v>4795</v>
      </c>
      <c r="F242">
        <v>27506416</v>
      </c>
    </row>
    <row r="243" spans="1:6" x14ac:dyDescent="0.15">
      <c r="A243" t="s">
        <v>6496</v>
      </c>
      <c r="C243" t="s">
        <v>6498</v>
      </c>
      <c r="D243">
        <v>2018</v>
      </c>
      <c r="E243" t="s">
        <v>6509</v>
      </c>
      <c r="F243">
        <v>30128086</v>
      </c>
    </row>
    <row r="244" spans="1:6" x14ac:dyDescent="0.15">
      <c r="A244" t="s">
        <v>7116</v>
      </c>
      <c r="C244" t="s">
        <v>7118</v>
      </c>
      <c r="D244">
        <v>2016</v>
      </c>
      <c r="E244" t="s">
        <v>7128</v>
      </c>
      <c r="F244">
        <v>27514468</v>
      </c>
    </row>
    <row r="245" spans="1:6" x14ac:dyDescent="0.15">
      <c r="A245" t="s">
        <v>8962</v>
      </c>
      <c r="C245" t="s">
        <v>8963</v>
      </c>
      <c r="D245">
        <v>1994</v>
      </c>
      <c r="E245" t="s">
        <v>74</v>
      </c>
      <c r="F245">
        <v>7919334</v>
      </c>
    </row>
    <row r="246" spans="1:6" x14ac:dyDescent="0.15">
      <c r="A246" t="s">
        <v>10428</v>
      </c>
      <c r="C246" t="s">
        <v>10430</v>
      </c>
      <c r="D246">
        <v>2018</v>
      </c>
      <c r="E246" t="s">
        <v>10439</v>
      </c>
      <c r="F246">
        <v>29880824</v>
      </c>
    </row>
    <row r="247" spans="1:6" x14ac:dyDescent="0.15">
      <c r="A247" t="s">
        <v>629</v>
      </c>
      <c r="C247" t="s">
        <v>631</v>
      </c>
      <c r="D247">
        <v>2021</v>
      </c>
      <c r="E247" t="s">
        <v>641</v>
      </c>
      <c r="F247">
        <v>33668490</v>
      </c>
    </row>
    <row r="248" spans="1:6" x14ac:dyDescent="0.15">
      <c r="A248" t="s">
        <v>2589</v>
      </c>
      <c r="C248" t="s">
        <v>2591</v>
      </c>
      <c r="D248">
        <v>2019</v>
      </c>
      <c r="E248" t="s">
        <v>2602</v>
      </c>
      <c r="F248">
        <v>30871557</v>
      </c>
    </row>
    <row r="249" spans="1:6" x14ac:dyDescent="0.15">
      <c r="A249" t="s">
        <v>3919</v>
      </c>
      <c r="C249" t="s">
        <v>3921</v>
      </c>
      <c r="D249">
        <v>2006</v>
      </c>
      <c r="E249" t="s">
        <v>3934</v>
      </c>
      <c r="F249">
        <v>17127485</v>
      </c>
    </row>
    <row r="250" spans="1:6" x14ac:dyDescent="0.15">
      <c r="A250" t="s">
        <v>4260</v>
      </c>
      <c r="C250" t="s">
        <v>4262</v>
      </c>
      <c r="D250">
        <v>2018</v>
      </c>
      <c r="E250" t="s">
        <v>4272</v>
      </c>
      <c r="F250">
        <v>30596665</v>
      </c>
    </row>
    <row r="251" spans="1:6" x14ac:dyDescent="0.15">
      <c r="A251" t="s">
        <v>5776</v>
      </c>
      <c r="C251" t="s">
        <v>5778</v>
      </c>
      <c r="D251">
        <v>2020</v>
      </c>
      <c r="E251" t="s">
        <v>5787</v>
      </c>
      <c r="F251">
        <v>32902258</v>
      </c>
    </row>
    <row r="252" spans="1:6" x14ac:dyDescent="0.15">
      <c r="A252" t="s">
        <v>6796</v>
      </c>
      <c r="C252" t="s">
        <v>6798</v>
      </c>
      <c r="D252">
        <v>2019</v>
      </c>
      <c r="E252" t="s">
        <v>6808</v>
      </c>
      <c r="F252">
        <v>31611906</v>
      </c>
    </row>
    <row r="253" spans="1:6" x14ac:dyDescent="0.15">
      <c r="A253" t="s">
        <v>7566</v>
      </c>
      <c r="C253" t="s">
        <v>7568</v>
      </c>
      <c r="D253">
        <v>2020</v>
      </c>
      <c r="E253" t="s">
        <v>7577</v>
      </c>
      <c r="F253">
        <v>31896748</v>
      </c>
    </row>
    <row r="254" spans="1:6" x14ac:dyDescent="0.15">
      <c r="A254" t="s">
        <v>8899</v>
      </c>
      <c r="C254" t="s">
        <v>8901</v>
      </c>
      <c r="D254">
        <v>2011</v>
      </c>
      <c r="E254" t="s">
        <v>8912</v>
      </c>
      <c r="F254">
        <v>21461976</v>
      </c>
    </row>
    <row r="255" spans="1:6" x14ac:dyDescent="0.15">
      <c r="A255" t="s">
        <v>9053</v>
      </c>
      <c r="C255" t="s">
        <v>9055</v>
      </c>
      <c r="D255">
        <v>2017</v>
      </c>
      <c r="E255" t="s">
        <v>9065</v>
      </c>
      <c r="F255">
        <v>28492516</v>
      </c>
    </row>
    <row r="256" spans="1:6" x14ac:dyDescent="0.15">
      <c r="A256" t="s">
        <v>10015</v>
      </c>
      <c r="C256" t="s">
        <v>10017</v>
      </c>
      <c r="D256">
        <v>2008</v>
      </c>
      <c r="E256" t="s">
        <v>10027</v>
      </c>
      <c r="F256">
        <v>18089561</v>
      </c>
    </row>
    <row r="257" spans="1:6" x14ac:dyDescent="0.15">
      <c r="A257" t="s">
        <v>10962</v>
      </c>
      <c r="C257" t="s">
        <v>10964</v>
      </c>
      <c r="D257">
        <v>2008</v>
      </c>
      <c r="E257" t="s">
        <v>10975</v>
      </c>
      <c r="F257">
        <v>17898544</v>
      </c>
    </row>
    <row r="258" spans="1:6" x14ac:dyDescent="0.15">
      <c r="A258" t="s">
        <v>5275</v>
      </c>
      <c r="C258" t="s">
        <v>5277</v>
      </c>
      <c r="D258">
        <v>2016</v>
      </c>
      <c r="E258" t="s">
        <v>5288</v>
      </c>
      <c r="F258">
        <v>27579604</v>
      </c>
    </row>
    <row r="259" spans="1:6" x14ac:dyDescent="0.15">
      <c r="A259" t="s">
        <v>5559</v>
      </c>
      <c r="C259" t="s">
        <v>5561</v>
      </c>
      <c r="D259">
        <v>2018</v>
      </c>
      <c r="E259" t="s">
        <v>5573</v>
      </c>
      <c r="F259">
        <v>29550075</v>
      </c>
    </row>
    <row r="260" spans="1:6" x14ac:dyDescent="0.15">
      <c r="A260" t="s">
        <v>7728</v>
      </c>
      <c r="C260" t="s">
        <v>7730</v>
      </c>
      <c r="D260">
        <v>2020</v>
      </c>
      <c r="E260" t="s">
        <v>7740</v>
      </c>
      <c r="F260">
        <v>32594744</v>
      </c>
    </row>
    <row r="261" spans="1:6" x14ac:dyDescent="0.15">
      <c r="A261" t="s">
        <v>1996</v>
      </c>
      <c r="C261" t="s">
        <v>1998</v>
      </c>
      <c r="D261">
        <v>2020</v>
      </c>
      <c r="E261" t="s">
        <v>2008</v>
      </c>
      <c r="F261">
        <v>32455948</v>
      </c>
    </row>
    <row r="262" spans="1:6" x14ac:dyDescent="0.15">
      <c r="A262" t="s">
        <v>4019</v>
      </c>
      <c r="C262" t="s">
        <v>4021</v>
      </c>
      <c r="D262">
        <v>2017</v>
      </c>
      <c r="E262" t="s">
        <v>4034</v>
      </c>
      <c r="F262">
        <v>28807240</v>
      </c>
    </row>
    <row r="263" spans="1:6" x14ac:dyDescent="0.15">
      <c r="A263" t="s">
        <v>6119</v>
      </c>
      <c r="C263" t="s">
        <v>6121</v>
      </c>
      <c r="D263">
        <v>2019</v>
      </c>
      <c r="E263" t="s">
        <v>6133</v>
      </c>
      <c r="F263">
        <v>32154493</v>
      </c>
    </row>
    <row r="264" spans="1:6" x14ac:dyDescent="0.15">
      <c r="A264" t="s">
        <v>7494</v>
      </c>
      <c r="C264" t="s">
        <v>7496</v>
      </c>
      <c r="D264">
        <v>2015</v>
      </c>
      <c r="E264" t="s">
        <v>7506</v>
      </c>
      <c r="F264">
        <v>25795433</v>
      </c>
    </row>
    <row r="265" spans="1:6" x14ac:dyDescent="0.15">
      <c r="A265" t="s">
        <v>10121</v>
      </c>
      <c r="C265" t="s">
        <v>10123</v>
      </c>
      <c r="D265">
        <v>2015</v>
      </c>
      <c r="E265" t="s">
        <v>10134</v>
      </c>
      <c r="F265">
        <v>25811468</v>
      </c>
    </row>
    <row r="266" spans="1:6" x14ac:dyDescent="0.15">
      <c r="A266" t="s">
        <v>10463</v>
      </c>
      <c r="C266" t="s">
        <v>10465</v>
      </c>
      <c r="D266">
        <v>2012</v>
      </c>
      <c r="E266" t="s">
        <v>10476</v>
      </c>
      <c r="F266" t="s">
        <v>74</v>
      </c>
    </row>
    <row r="267" spans="1:6" x14ac:dyDescent="0.15">
      <c r="A267" t="s">
        <v>10979</v>
      </c>
      <c r="C267" t="s">
        <v>10980</v>
      </c>
      <c r="D267">
        <v>1997</v>
      </c>
      <c r="E267" t="s">
        <v>10990</v>
      </c>
      <c r="F267">
        <v>9076578</v>
      </c>
    </row>
    <row r="268" spans="1:6" x14ac:dyDescent="0.15">
      <c r="A268" t="s">
        <v>114</v>
      </c>
      <c r="C268" t="s">
        <v>116</v>
      </c>
      <c r="D268">
        <v>2016</v>
      </c>
      <c r="E268" t="s">
        <v>130</v>
      </c>
      <c r="F268" t="s">
        <v>74</v>
      </c>
    </row>
    <row r="269" spans="1:6" x14ac:dyDescent="0.15">
      <c r="A269" t="s">
        <v>163</v>
      </c>
      <c r="C269" t="s">
        <v>165</v>
      </c>
      <c r="D269">
        <v>2019</v>
      </c>
      <c r="E269" t="s">
        <v>172</v>
      </c>
      <c r="F269">
        <v>32010582</v>
      </c>
    </row>
    <row r="270" spans="1:6" x14ac:dyDescent="0.15">
      <c r="A270" t="s">
        <v>1825</v>
      </c>
      <c r="C270" t="s">
        <v>1827</v>
      </c>
      <c r="D270">
        <v>2020</v>
      </c>
      <c r="E270" t="s">
        <v>1838</v>
      </c>
      <c r="F270">
        <v>32978468</v>
      </c>
    </row>
    <row r="271" spans="1:6" x14ac:dyDescent="0.15">
      <c r="A271" t="s">
        <v>2232</v>
      </c>
      <c r="C271" t="s">
        <v>2234</v>
      </c>
      <c r="D271">
        <v>2019</v>
      </c>
      <c r="E271" t="s">
        <v>2244</v>
      </c>
      <c r="F271">
        <v>31200749</v>
      </c>
    </row>
    <row r="272" spans="1:6" x14ac:dyDescent="0.15">
      <c r="A272" t="s">
        <v>3019</v>
      </c>
      <c r="C272" t="s">
        <v>3021</v>
      </c>
      <c r="D272">
        <v>2021</v>
      </c>
      <c r="E272" t="s">
        <v>3029</v>
      </c>
      <c r="F272">
        <v>33076176</v>
      </c>
    </row>
    <row r="273" spans="1:6" x14ac:dyDescent="0.15">
      <c r="A273" t="s">
        <v>3300</v>
      </c>
      <c r="C273" t="s">
        <v>3302</v>
      </c>
      <c r="D273">
        <v>2015</v>
      </c>
      <c r="E273" t="s">
        <v>3313</v>
      </c>
      <c r="F273">
        <v>25783200</v>
      </c>
    </row>
    <row r="274" spans="1:6" x14ac:dyDescent="0.15">
      <c r="A274" t="s">
        <v>5459</v>
      </c>
      <c r="C274" t="s">
        <v>5461</v>
      </c>
      <c r="D274">
        <v>2020</v>
      </c>
      <c r="E274" t="s">
        <v>5474</v>
      </c>
      <c r="F274">
        <v>32446697</v>
      </c>
    </row>
    <row r="275" spans="1:6" x14ac:dyDescent="0.15">
      <c r="A275" t="s">
        <v>5603</v>
      </c>
      <c r="C275" t="s">
        <v>5605</v>
      </c>
      <c r="D275">
        <v>2017</v>
      </c>
      <c r="E275" t="s">
        <v>5614</v>
      </c>
      <c r="F275">
        <v>28677360</v>
      </c>
    </row>
    <row r="276" spans="1:6" x14ac:dyDescent="0.15">
      <c r="A276" t="s">
        <v>5726</v>
      </c>
      <c r="C276" t="s">
        <v>5728</v>
      </c>
      <c r="D276">
        <v>2018</v>
      </c>
      <c r="E276" t="s">
        <v>5742</v>
      </c>
      <c r="F276">
        <v>30551256</v>
      </c>
    </row>
    <row r="277" spans="1:6" x14ac:dyDescent="0.15">
      <c r="A277" t="s">
        <v>6366</v>
      </c>
      <c r="C277" t="s">
        <v>6368</v>
      </c>
      <c r="D277">
        <v>2021</v>
      </c>
      <c r="E277" t="s">
        <v>6375</v>
      </c>
      <c r="F277">
        <v>33096430</v>
      </c>
    </row>
    <row r="278" spans="1:6" x14ac:dyDescent="0.15">
      <c r="A278" t="s">
        <v>7536</v>
      </c>
      <c r="C278" t="s">
        <v>7538</v>
      </c>
      <c r="D278">
        <v>2020</v>
      </c>
      <c r="E278" t="s">
        <v>7549</v>
      </c>
      <c r="F278">
        <v>31856390</v>
      </c>
    </row>
    <row r="279" spans="1:6" x14ac:dyDescent="0.15">
      <c r="A279" t="s">
        <v>10075</v>
      </c>
      <c r="C279" t="s">
        <v>10077</v>
      </c>
      <c r="D279">
        <v>2015</v>
      </c>
      <c r="E279" t="s">
        <v>10088</v>
      </c>
      <c r="F279">
        <v>26018205</v>
      </c>
    </row>
    <row r="280" spans="1:6" x14ac:dyDescent="0.15">
      <c r="A280" t="s">
        <v>10183</v>
      </c>
      <c r="C280" t="s">
        <v>10185</v>
      </c>
      <c r="D280">
        <v>2019</v>
      </c>
      <c r="E280" t="s">
        <v>10196</v>
      </c>
      <c r="F280" t="s">
        <v>74</v>
      </c>
    </row>
    <row r="281" spans="1:6" x14ac:dyDescent="0.15">
      <c r="A281" t="s">
        <v>10226</v>
      </c>
      <c r="C281" t="s">
        <v>10227</v>
      </c>
      <c r="D281">
        <v>1997</v>
      </c>
      <c r="E281" t="s">
        <v>74</v>
      </c>
      <c r="F281">
        <v>9180905</v>
      </c>
    </row>
    <row r="282" spans="1:6" x14ac:dyDescent="0.15">
      <c r="A282" t="s">
        <v>259</v>
      </c>
      <c r="C282" t="s">
        <v>261</v>
      </c>
      <c r="D282">
        <v>2019</v>
      </c>
      <c r="E282" t="s">
        <v>272</v>
      </c>
      <c r="F282">
        <v>31608233</v>
      </c>
    </row>
    <row r="283" spans="1:6" x14ac:dyDescent="0.15">
      <c r="A283" t="s">
        <v>1665</v>
      </c>
      <c r="C283" t="s">
        <v>1667</v>
      </c>
      <c r="D283">
        <v>2021</v>
      </c>
      <c r="E283" t="s">
        <v>1680</v>
      </c>
      <c r="F283">
        <v>33436002</v>
      </c>
    </row>
    <row r="284" spans="1:6" x14ac:dyDescent="0.15">
      <c r="A284" t="s">
        <v>4353</v>
      </c>
      <c r="C284" t="s">
        <v>4355</v>
      </c>
      <c r="D284">
        <v>2016</v>
      </c>
      <c r="E284" t="s">
        <v>4368</v>
      </c>
      <c r="F284">
        <v>27919931</v>
      </c>
    </row>
    <row r="285" spans="1:6" x14ac:dyDescent="0.15">
      <c r="A285" t="s">
        <v>5661</v>
      </c>
      <c r="C285" t="s">
        <v>5664</v>
      </c>
      <c r="D285">
        <v>2006</v>
      </c>
      <c r="E285" t="s">
        <v>5680</v>
      </c>
      <c r="F285">
        <v>17108190</v>
      </c>
    </row>
    <row r="286" spans="1:6" x14ac:dyDescent="0.15">
      <c r="A286" t="s">
        <v>5836</v>
      </c>
      <c r="C286" t="s">
        <v>5838</v>
      </c>
      <c r="D286">
        <v>2020</v>
      </c>
      <c r="E286" t="s">
        <v>5849</v>
      </c>
      <c r="F286">
        <v>32229189</v>
      </c>
    </row>
    <row r="287" spans="1:6" x14ac:dyDescent="0.15">
      <c r="A287" t="s">
        <v>7522</v>
      </c>
      <c r="C287" t="s">
        <v>7524</v>
      </c>
      <c r="D287">
        <v>2018</v>
      </c>
      <c r="E287" t="s">
        <v>7534</v>
      </c>
      <c r="F287">
        <v>30247599</v>
      </c>
    </row>
    <row r="288" spans="1:6" x14ac:dyDescent="0.15">
      <c r="A288" t="s">
        <v>8319</v>
      </c>
      <c r="C288" t="s">
        <v>8321</v>
      </c>
      <c r="D288">
        <v>2020</v>
      </c>
      <c r="E288" t="s">
        <v>8333</v>
      </c>
      <c r="F288">
        <v>31965891</v>
      </c>
    </row>
    <row r="289" spans="1:6" x14ac:dyDescent="0.15">
      <c r="A289" t="s">
        <v>9857</v>
      </c>
      <c r="C289" t="s">
        <v>9859</v>
      </c>
      <c r="D289">
        <v>2009</v>
      </c>
      <c r="E289" t="s">
        <v>9869</v>
      </c>
      <c r="F289">
        <v>19835589</v>
      </c>
    </row>
    <row r="290" spans="1:6" x14ac:dyDescent="0.15">
      <c r="A290" t="s">
        <v>1199</v>
      </c>
      <c r="C290" t="s">
        <v>1201</v>
      </c>
      <c r="D290">
        <v>2019</v>
      </c>
      <c r="E290" t="s">
        <v>1213</v>
      </c>
      <c r="F290">
        <v>31153869</v>
      </c>
    </row>
    <row r="291" spans="1:6" x14ac:dyDescent="0.15">
      <c r="A291" t="s">
        <v>2027</v>
      </c>
      <c r="C291" t="s">
        <v>2029</v>
      </c>
      <c r="D291">
        <v>2015</v>
      </c>
      <c r="E291" t="s">
        <v>2041</v>
      </c>
      <c r="F291">
        <v>26305810</v>
      </c>
    </row>
    <row r="292" spans="1:6" x14ac:dyDescent="0.15">
      <c r="A292" t="s">
        <v>2296</v>
      </c>
      <c r="C292" t="s">
        <v>2298</v>
      </c>
      <c r="D292">
        <v>2018</v>
      </c>
      <c r="E292" t="s">
        <v>2308</v>
      </c>
      <c r="F292">
        <v>29793362</v>
      </c>
    </row>
    <row r="293" spans="1:6" x14ac:dyDescent="0.15">
      <c r="A293" t="s">
        <v>6468</v>
      </c>
      <c r="C293" t="s">
        <v>6470</v>
      </c>
      <c r="D293">
        <v>2021</v>
      </c>
      <c r="E293" t="s">
        <v>6479</v>
      </c>
      <c r="F293">
        <v>33485367</v>
      </c>
    </row>
    <row r="294" spans="1:6" x14ac:dyDescent="0.15">
      <c r="A294" t="s">
        <v>6966</v>
      </c>
      <c r="C294" t="s">
        <v>6968</v>
      </c>
      <c r="D294">
        <v>2018</v>
      </c>
      <c r="E294" t="s">
        <v>6980</v>
      </c>
      <c r="F294">
        <v>29849879</v>
      </c>
    </row>
    <row r="295" spans="1:6" x14ac:dyDescent="0.15">
      <c r="A295" t="s">
        <v>8842</v>
      </c>
      <c r="C295" t="s">
        <v>8844</v>
      </c>
      <c r="D295">
        <v>2014</v>
      </c>
      <c r="E295" t="s">
        <v>8857</v>
      </c>
      <c r="F295">
        <v>24815811</v>
      </c>
    </row>
    <row r="296" spans="1:6" x14ac:dyDescent="0.15">
      <c r="A296" t="s">
        <v>11007</v>
      </c>
      <c r="C296" t="s">
        <v>11009</v>
      </c>
      <c r="D296">
        <v>2021</v>
      </c>
      <c r="E296" t="s">
        <v>11021</v>
      </c>
      <c r="F296" t="s">
        <v>74</v>
      </c>
    </row>
    <row r="297" spans="1:6" x14ac:dyDescent="0.15">
      <c r="A297" t="s">
        <v>274</v>
      </c>
      <c r="C297" t="s">
        <v>276</v>
      </c>
      <c r="D297">
        <v>2021</v>
      </c>
      <c r="E297" t="s">
        <v>290</v>
      </c>
      <c r="F297">
        <v>33355987</v>
      </c>
    </row>
    <row r="298" spans="1:6" x14ac:dyDescent="0.15">
      <c r="A298" t="s">
        <v>4159</v>
      </c>
      <c r="C298" t="s">
        <v>4161</v>
      </c>
      <c r="D298">
        <v>2019</v>
      </c>
      <c r="E298" t="s">
        <v>4170</v>
      </c>
      <c r="F298">
        <v>31232418</v>
      </c>
    </row>
    <row r="299" spans="1:6" x14ac:dyDescent="0.15">
      <c r="A299" t="s">
        <v>4896</v>
      </c>
      <c r="C299" t="s">
        <v>4898</v>
      </c>
      <c r="D299">
        <v>2015</v>
      </c>
      <c r="E299" t="s">
        <v>4910</v>
      </c>
      <c r="F299">
        <v>25678142</v>
      </c>
    </row>
    <row r="300" spans="1:6" x14ac:dyDescent="0.15">
      <c r="A300" t="s">
        <v>6197</v>
      </c>
      <c r="C300" t="s">
        <v>6199</v>
      </c>
      <c r="D300">
        <v>2020</v>
      </c>
      <c r="E300" t="s">
        <v>6212</v>
      </c>
      <c r="F300">
        <v>32544093</v>
      </c>
    </row>
    <row r="301" spans="1:6" x14ac:dyDescent="0.15">
      <c r="A301" t="s">
        <v>10198</v>
      </c>
      <c r="C301" t="s">
        <v>10200</v>
      </c>
      <c r="D301">
        <v>2014</v>
      </c>
      <c r="E301" t="s">
        <v>10210</v>
      </c>
      <c r="F301">
        <v>24988338</v>
      </c>
    </row>
    <row r="302" spans="1:6" x14ac:dyDescent="0.15">
      <c r="A302" t="s">
        <v>10280</v>
      </c>
      <c r="C302" t="s">
        <v>10282</v>
      </c>
      <c r="D302">
        <v>2009</v>
      </c>
      <c r="E302" t="s">
        <v>10293</v>
      </c>
      <c r="F302">
        <v>19712552</v>
      </c>
    </row>
    <row r="303" spans="1:6" x14ac:dyDescent="0.15">
      <c r="A303" t="s">
        <v>10895</v>
      </c>
      <c r="C303" t="s">
        <v>10897</v>
      </c>
      <c r="D303">
        <v>2018</v>
      </c>
      <c r="E303" t="s">
        <v>10904</v>
      </c>
      <c r="F303">
        <v>29362731</v>
      </c>
    </row>
    <row r="304" spans="1:6" x14ac:dyDescent="0.15">
      <c r="A304" t="s">
        <v>4815</v>
      </c>
      <c r="C304" t="s">
        <v>4817</v>
      </c>
      <c r="D304">
        <v>2017</v>
      </c>
      <c r="E304" t="s">
        <v>4830</v>
      </c>
      <c r="F304">
        <v>28751279</v>
      </c>
    </row>
    <row r="305" spans="1:6" x14ac:dyDescent="0.15">
      <c r="A305" t="s">
        <v>5477</v>
      </c>
      <c r="C305" t="s">
        <v>5479</v>
      </c>
      <c r="D305">
        <v>2013</v>
      </c>
      <c r="E305" t="s">
        <v>5488</v>
      </c>
      <c r="F305">
        <v>24146982</v>
      </c>
    </row>
    <row r="306" spans="1:6" x14ac:dyDescent="0.15">
      <c r="A306" t="s">
        <v>5629</v>
      </c>
      <c r="C306" t="s">
        <v>5631</v>
      </c>
      <c r="D306">
        <v>2017</v>
      </c>
      <c r="E306" t="s">
        <v>5644</v>
      </c>
      <c r="F306">
        <v>27770039</v>
      </c>
    </row>
    <row r="307" spans="1:6" x14ac:dyDescent="0.15">
      <c r="A307" t="s">
        <v>5936</v>
      </c>
      <c r="C307" t="s">
        <v>5938</v>
      </c>
      <c r="D307">
        <v>2019</v>
      </c>
      <c r="E307" t="s">
        <v>5950</v>
      </c>
      <c r="F307">
        <v>31731505</v>
      </c>
    </row>
    <row r="308" spans="1:6" x14ac:dyDescent="0.15">
      <c r="A308" t="s">
        <v>7767</v>
      </c>
      <c r="C308" t="s">
        <v>7769</v>
      </c>
      <c r="D308">
        <v>2014</v>
      </c>
      <c r="E308" t="s">
        <v>7778</v>
      </c>
      <c r="F308">
        <v>25266310</v>
      </c>
    </row>
    <row r="309" spans="1:6" x14ac:dyDescent="0.15">
      <c r="A309" t="s">
        <v>9387</v>
      </c>
      <c r="C309" t="s">
        <v>9388</v>
      </c>
      <c r="D309">
        <v>1991</v>
      </c>
      <c r="E309" t="s">
        <v>74</v>
      </c>
      <c r="F309">
        <v>1649554</v>
      </c>
    </row>
    <row r="310" spans="1:6" x14ac:dyDescent="0.15">
      <c r="A310" t="s">
        <v>9967</v>
      </c>
      <c r="C310" t="s">
        <v>9969</v>
      </c>
      <c r="D310">
        <v>2021</v>
      </c>
      <c r="E310" t="s">
        <v>9978</v>
      </c>
      <c r="F310">
        <v>33693781</v>
      </c>
    </row>
    <row r="311" spans="1:6" x14ac:dyDescent="0.15">
      <c r="A311" t="s">
        <v>10155</v>
      </c>
      <c r="C311" t="s">
        <v>10157</v>
      </c>
      <c r="D311">
        <v>2013</v>
      </c>
      <c r="E311" t="s">
        <v>10170</v>
      </c>
      <c r="F311">
        <v>22688190</v>
      </c>
    </row>
    <row r="312" spans="1:6" x14ac:dyDescent="0.15">
      <c r="A312" t="s">
        <v>10536</v>
      </c>
      <c r="C312" t="s">
        <v>10538</v>
      </c>
      <c r="D312">
        <v>2020</v>
      </c>
      <c r="E312" t="s">
        <v>10548</v>
      </c>
      <c r="F312" t="s">
        <v>74</v>
      </c>
    </row>
    <row r="313" spans="1:6" x14ac:dyDescent="0.15">
      <c r="A313" t="s">
        <v>1495</v>
      </c>
      <c r="C313" t="s">
        <v>1497</v>
      </c>
      <c r="D313">
        <v>2019</v>
      </c>
      <c r="E313" t="s">
        <v>1508</v>
      </c>
      <c r="F313">
        <v>31608222</v>
      </c>
    </row>
    <row r="314" spans="1:6" x14ac:dyDescent="0.15">
      <c r="A314" t="s">
        <v>4336</v>
      </c>
      <c r="C314" t="s">
        <v>4338</v>
      </c>
      <c r="D314">
        <v>2020</v>
      </c>
      <c r="E314" t="s">
        <v>4351</v>
      </c>
      <c r="F314">
        <v>31932899</v>
      </c>
    </row>
    <row r="315" spans="1:6" x14ac:dyDescent="0.15">
      <c r="A315" t="s">
        <v>4632</v>
      </c>
      <c r="C315" t="s">
        <v>4634</v>
      </c>
      <c r="D315">
        <v>2020</v>
      </c>
      <c r="E315" t="s">
        <v>4644</v>
      </c>
      <c r="F315">
        <v>32326435</v>
      </c>
    </row>
    <row r="316" spans="1:6" x14ac:dyDescent="0.15">
      <c r="A316" t="s">
        <v>4673</v>
      </c>
      <c r="C316" t="s">
        <v>4675</v>
      </c>
      <c r="D316">
        <v>2019</v>
      </c>
      <c r="E316" t="s">
        <v>4690</v>
      </c>
      <c r="F316">
        <v>31017799</v>
      </c>
    </row>
    <row r="317" spans="1:6" x14ac:dyDescent="0.15">
      <c r="A317" t="s">
        <v>5616</v>
      </c>
      <c r="C317" t="s">
        <v>5618</v>
      </c>
      <c r="D317">
        <v>2016</v>
      </c>
      <c r="E317" t="s">
        <v>5627</v>
      </c>
      <c r="F317">
        <v>27362801</v>
      </c>
    </row>
    <row r="318" spans="1:6" x14ac:dyDescent="0.15">
      <c r="A318" t="s">
        <v>5954</v>
      </c>
      <c r="C318" t="s">
        <v>5956</v>
      </c>
      <c r="D318">
        <v>2017</v>
      </c>
      <c r="E318" t="s">
        <v>5966</v>
      </c>
      <c r="F318">
        <v>28154880</v>
      </c>
    </row>
    <row r="319" spans="1:6" x14ac:dyDescent="0.15">
      <c r="A319" t="s">
        <v>7284</v>
      </c>
      <c r="C319" t="s">
        <v>7286</v>
      </c>
      <c r="D319">
        <v>2015</v>
      </c>
      <c r="E319" t="s">
        <v>7296</v>
      </c>
      <c r="F319">
        <v>25650727</v>
      </c>
    </row>
    <row r="320" spans="1:6" x14ac:dyDescent="0.15">
      <c r="A320" t="s">
        <v>7696</v>
      </c>
      <c r="C320" t="s">
        <v>7698</v>
      </c>
      <c r="D320">
        <v>2016</v>
      </c>
      <c r="E320" t="s">
        <v>7712</v>
      </c>
      <c r="F320">
        <v>27071670</v>
      </c>
    </row>
    <row r="321" spans="1:6" x14ac:dyDescent="0.15">
      <c r="A321" t="s">
        <v>8425</v>
      </c>
      <c r="C321" t="s">
        <v>8426</v>
      </c>
      <c r="D321">
        <v>2005</v>
      </c>
      <c r="E321" t="s">
        <v>8436</v>
      </c>
      <c r="F321">
        <v>15889135</v>
      </c>
    </row>
    <row r="322" spans="1:6" x14ac:dyDescent="0.15">
      <c r="A322" t="s">
        <v>9755</v>
      </c>
      <c r="C322" t="s">
        <v>9757</v>
      </c>
      <c r="D322">
        <v>2021</v>
      </c>
      <c r="E322" t="s">
        <v>9767</v>
      </c>
      <c r="F322">
        <v>32929219</v>
      </c>
    </row>
    <row r="323" spans="1:6" x14ac:dyDescent="0.15">
      <c r="A323" t="s">
        <v>10305</v>
      </c>
      <c r="C323" t="s">
        <v>10307</v>
      </c>
      <c r="D323">
        <v>2020</v>
      </c>
      <c r="E323" t="s">
        <v>10317</v>
      </c>
      <c r="F323">
        <v>32854257</v>
      </c>
    </row>
    <row r="324" spans="1:6" x14ac:dyDescent="0.15">
      <c r="A324" t="s">
        <v>11106</v>
      </c>
      <c r="C324" t="s">
        <v>11108</v>
      </c>
      <c r="D324">
        <v>2017</v>
      </c>
      <c r="E324" t="s">
        <v>11117</v>
      </c>
      <c r="F324">
        <v>28832110</v>
      </c>
    </row>
    <row r="325" spans="1:6" x14ac:dyDescent="0.15">
      <c r="A325" t="s">
        <v>3221</v>
      </c>
      <c r="C325" t="s">
        <v>3223</v>
      </c>
      <c r="D325">
        <v>2021</v>
      </c>
      <c r="E325" t="s">
        <v>3232</v>
      </c>
      <c r="F325">
        <v>33076118</v>
      </c>
    </row>
    <row r="326" spans="1:6" x14ac:dyDescent="0.15">
      <c r="A326" t="s">
        <v>3682</v>
      </c>
      <c r="C326" t="s">
        <v>3685</v>
      </c>
      <c r="D326">
        <v>2016</v>
      </c>
      <c r="E326" t="s">
        <v>3695</v>
      </c>
      <c r="F326">
        <v>26910077</v>
      </c>
    </row>
    <row r="327" spans="1:6" x14ac:dyDescent="0.15">
      <c r="A327" t="s">
        <v>4548</v>
      </c>
      <c r="C327" t="s">
        <v>4550</v>
      </c>
      <c r="D327">
        <v>2018</v>
      </c>
      <c r="E327" t="s">
        <v>4560</v>
      </c>
      <c r="F327">
        <v>29721020</v>
      </c>
    </row>
    <row r="328" spans="1:6" x14ac:dyDescent="0.15">
      <c r="A328" t="s">
        <v>4574</v>
      </c>
      <c r="C328" t="s">
        <v>4577</v>
      </c>
      <c r="D328">
        <v>2018</v>
      </c>
      <c r="E328" t="s">
        <v>4588</v>
      </c>
      <c r="F328">
        <v>29196999</v>
      </c>
    </row>
    <row r="329" spans="1:6" x14ac:dyDescent="0.15">
      <c r="A329" t="s">
        <v>4737</v>
      </c>
      <c r="C329" t="s">
        <v>4739</v>
      </c>
      <c r="D329">
        <v>2020</v>
      </c>
      <c r="E329" t="s">
        <v>4749</v>
      </c>
      <c r="F329">
        <v>32912198</v>
      </c>
    </row>
    <row r="330" spans="1:6" x14ac:dyDescent="0.15">
      <c r="A330" t="s">
        <v>6167</v>
      </c>
      <c r="C330" t="s">
        <v>6169</v>
      </c>
      <c r="D330">
        <v>2019</v>
      </c>
      <c r="E330" t="s">
        <v>6181</v>
      </c>
      <c r="F330">
        <v>31182116</v>
      </c>
    </row>
    <row r="331" spans="1:6" x14ac:dyDescent="0.15">
      <c r="A331" t="s">
        <v>9025</v>
      </c>
      <c r="C331" t="s">
        <v>9027</v>
      </c>
      <c r="D331">
        <v>2017</v>
      </c>
      <c r="E331" t="s">
        <v>9039</v>
      </c>
      <c r="F331">
        <v>29156055</v>
      </c>
    </row>
    <row r="332" spans="1:6" x14ac:dyDescent="0.15">
      <c r="A332" t="s">
        <v>10906</v>
      </c>
      <c r="C332" t="s">
        <v>10908</v>
      </c>
      <c r="D332">
        <v>2018</v>
      </c>
      <c r="E332" t="s">
        <v>10917</v>
      </c>
      <c r="F332">
        <v>29734033</v>
      </c>
    </row>
    <row r="333" spans="1:6" x14ac:dyDescent="0.15">
      <c r="A333" t="s">
        <v>2126</v>
      </c>
      <c r="C333" t="s">
        <v>2128</v>
      </c>
      <c r="D333">
        <v>2020</v>
      </c>
      <c r="E333" t="s">
        <v>2137</v>
      </c>
      <c r="F333">
        <v>33304477</v>
      </c>
    </row>
    <row r="334" spans="1:6" x14ac:dyDescent="0.15">
      <c r="A334" t="s">
        <v>2184</v>
      </c>
      <c r="C334" t="s">
        <v>2186</v>
      </c>
      <c r="D334">
        <v>2021</v>
      </c>
      <c r="E334" t="s">
        <v>2199</v>
      </c>
      <c r="F334">
        <v>33727157</v>
      </c>
    </row>
    <row r="335" spans="1:6" x14ac:dyDescent="0.15">
      <c r="A335" t="s">
        <v>2448</v>
      </c>
      <c r="C335" t="s">
        <v>2450</v>
      </c>
      <c r="D335">
        <v>2020</v>
      </c>
      <c r="E335" t="s">
        <v>2465</v>
      </c>
      <c r="F335">
        <v>32744099</v>
      </c>
    </row>
    <row r="336" spans="1:6" x14ac:dyDescent="0.15">
      <c r="A336" t="s">
        <v>2722</v>
      </c>
      <c r="C336" t="s">
        <v>2724</v>
      </c>
      <c r="D336">
        <v>2021</v>
      </c>
      <c r="E336" t="s">
        <v>2734</v>
      </c>
      <c r="F336">
        <v>33508126</v>
      </c>
    </row>
    <row r="337" spans="1:6" x14ac:dyDescent="0.15">
      <c r="A337" t="s">
        <v>6653</v>
      </c>
      <c r="C337" t="s">
        <v>6655</v>
      </c>
      <c r="D337">
        <v>2020</v>
      </c>
      <c r="E337" t="s">
        <v>6664</v>
      </c>
      <c r="F337">
        <v>32892927</v>
      </c>
    </row>
    <row r="338" spans="1:6" x14ac:dyDescent="0.15">
      <c r="A338" t="s">
        <v>6825</v>
      </c>
      <c r="C338" t="s">
        <v>6827</v>
      </c>
      <c r="D338">
        <v>2018</v>
      </c>
      <c r="E338" t="s">
        <v>6836</v>
      </c>
      <c r="F338">
        <v>29660021</v>
      </c>
    </row>
    <row r="339" spans="1:6" x14ac:dyDescent="0.15">
      <c r="A339" t="s">
        <v>7590</v>
      </c>
      <c r="C339" t="s">
        <v>7593</v>
      </c>
      <c r="D339">
        <v>2020</v>
      </c>
      <c r="E339" t="s">
        <v>7606</v>
      </c>
      <c r="F339">
        <v>31605237</v>
      </c>
    </row>
    <row r="340" spans="1:6" x14ac:dyDescent="0.15">
      <c r="A340" t="s">
        <v>7904</v>
      </c>
      <c r="C340" t="s">
        <v>7906</v>
      </c>
      <c r="D340">
        <v>2020</v>
      </c>
      <c r="E340" t="s">
        <v>7914</v>
      </c>
      <c r="F340">
        <v>31919754</v>
      </c>
    </row>
    <row r="341" spans="1:6" x14ac:dyDescent="0.15">
      <c r="A341" t="s">
        <v>8269</v>
      </c>
      <c r="C341" t="s">
        <v>8271</v>
      </c>
      <c r="D341">
        <v>2021</v>
      </c>
      <c r="E341" t="s">
        <v>8284</v>
      </c>
      <c r="F341">
        <v>33275138</v>
      </c>
    </row>
    <row r="342" spans="1:6" x14ac:dyDescent="0.15">
      <c r="A342" t="s">
        <v>8335</v>
      </c>
      <c r="C342" t="s">
        <v>8336</v>
      </c>
      <c r="D342">
        <v>2005</v>
      </c>
      <c r="E342" t="s">
        <v>8347</v>
      </c>
      <c r="F342">
        <v>16002628</v>
      </c>
    </row>
    <row r="343" spans="1:6" x14ac:dyDescent="0.15">
      <c r="A343" t="s">
        <v>8440</v>
      </c>
      <c r="C343" t="s">
        <v>8442</v>
      </c>
      <c r="D343">
        <v>2021</v>
      </c>
      <c r="E343" t="s">
        <v>8451</v>
      </c>
      <c r="F343">
        <v>33844518</v>
      </c>
    </row>
    <row r="344" spans="1:6" x14ac:dyDescent="0.15">
      <c r="A344" t="s">
        <v>8507</v>
      </c>
      <c r="C344" t="s">
        <v>8509</v>
      </c>
      <c r="D344">
        <v>2021</v>
      </c>
      <c r="E344" t="s">
        <v>8521</v>
      </c>
      <c r="F344">
        <v>33500577</v>
      </c>
    </row>
    <row r="345" spans="1:6" x14ac:dyDescent="0.15">
      <c r="A345" t="s">
        <v>8985</v>
      </c>
      <c r="C345" t="s">
        <v>8987</v>
      </c>
      <c r="D345">
        <v>2017</v>
      </c>
      <c r="E345" t="s">
        <v>8996</v>
      </c>
      <c r="F345">
        <v>30023671</v>
      </c>
    </row>
    <row r="346" spans="1:6" x14ac:dyDescent="0.15">
      <c r="A346" t="s">
        <v>9729</v>
      </c>
      <c r="C346" t="s">
        <v>9730</v>
      </c>
      <c r="D346">
        <v>1995</v>
      </c>
      <c r="E346" t="s">
        <v>9737</v>
      </c>
      <c r="F346" t="s">
        <v>74</v>
      </c>
    </row>
    <row r="347" spans="1:6" x14ac:dyDescent="0.15">
      <c r="A347" t="s">
        <v>9871</v>
      </c>
      <c r="C347" t="s">
        <v>9873</v>
      </c>
      <c r="D347">
        <v>2018</v>
      </c>
      <c r="E347" t="s">
        <v>9880</v>
      </c>
      <c r="F347">
        <v>29434260</v>
      </c>
    </row>
    <row r="348" spans="1:6" x14ac:dyDescent="0.15">
      <c r="A348" t="s">
        <v>10703</v>
      </c>
      <c r="C348" t="s">
        <v>10705</v>
      </c>
      <c r="D348">
        <v>2017</v>
      </c>
      <c r="E348" t="s">
        <v>10716</v>
      </c>
      <c r="F348">
        <v>28236306</v>
      </c>
    </row>
    <row r="349" spans="1:6" x14ac:dyDescent="0.15">
      <c r="A349" t="s">
        <v>10867</v>
      </c>
      <c r="C349" t="s">
        <v>10869</v>
      </c>
      <c r="D349">
        <v>2020</v>
      </c>
      <c r="E349" t="s">
        <v>10878</v>
      </c>
      <c r="F349">
        <v>32153563</v>
      </c>
    </row>
    <row r="350" spans="1:6" x14ac:dyDescent="0.15">
      <c r="A350" t="s">
        <v>313</v>
      </c>
      <c r="C350" t="s">
        <v>316</v>
      </c>
      <c r="D350">
        <v>2021</v>
      </c>
      <c r="E350" t="s">
        <v>331</v>
      </c>
      <c r="F350">
        <v>32813249</v>
      </c>
    </row>
    <row r="351" spans="1:6" x14ac:dyDescent="0.15">
      <c r="A351" t="s">
        <v>582</v>
      </c>
      <c r="C351" t="s">
        <v>457</v>
      </c>
      <c r="D351">
        <v>2015</v>
      </c>
      <c r="E351" t="s">
        <v>593</v>
      </c>
      <c r="F351">
        <v>25820722</v>
      </c>
    </row>
    <row r="352" spans="1:6" x14ac:dyDescent="0.15">
      <c r="A352" t="s">
        <v>2975</v>
      </c>
      <c r="C352" t="s">
        <v>2977</v>
      </c>
      <c r="D352">
        <v>2020</v>
      </c>
      <c r="E352" t="s">
        <v>2988</v>
      </c>
      <c r="F352">
        <v>32166219</v>
      </c>
    </row>
    <row r="353" spans="1:6" x14ac:dyDescent="0.15">
      <c r="A353" t="s">
        <v>3315</v>
      </c>
      <c r="C353" t="s">
        <v>3317</v>
      </c>
      <c r="D353">
        <v>2019</v>
      </c>
      <c r="E353" t="s">
        <v>3327</v>
      </c>
      <c r="F353">
        <v>30658414</v>
      </c>
    </row>
    <row r="354" spans="1:6" x14ac:dyDescent="0.15">
      <c r="A354" t="s">
        <v>3937</v>
      </c>
      <c r="C354" t="s">
        <v>3939</v>
      </c>
      <c r="D354">
        <v>2017</v>
      </c>
      <c r="E354" t="s">
        <v>3951</v>
      </c>
      <c r="F354">
        <v>27793845</v>
      </c>
    </row>
    <row r="355" spans="1:6" x14ac:dyDescent="0.15">
      <c r="A355" t="s">
        <v>4444</v>
      </c>
      <c r="C355" t="s">
        <v>4446</v>
      </c>
      <c r="D355">
        <v>2020</v>
      </c>
      <c r="E355" t="s">
        <v>4458</v>
      </c>
      <c r="F355">
        <v>32232575</v>
      </c>
    </row>
    <row r="356" spans="1:6" x14ac:dyDescent="0.15">
      <c r="A356" t="s">
        <v>4562</v>
      </c>
      <c r="C356" t="s">
        <v>4564</v>
      </c>
      <c r="D356">
        <v>2019</v>
      </c>
      <c r="E356" t="s">
        <v>4572</v>
      </c>
      <c r="F356">
        <v>31596073</v>
      </c>
    </row>
    <row r="357" spans="1:6" x14ac:dyDescent="0.15">
      <c r="A357" t="s">
        <v>6890</v>
      </c>
      <c r="C357" t="s">
        <v>6892</v>
      </c>
      <c r="D357">
        <v>2007</v>
      </c>
      <c r="E357" t="s">
        <v>6904</v>
      </c>
      <c r="F357">
        <v>17286953</v>
      </c>
    </row>
    <row r="358" spans="1:6" x14ac:dyDescent="0.15">
      <c r="A358" t="s">
        <v>7754</v>
      </c>
      <c r="C358" t="s">
        <v>7756</v>
      </c>
      <c r="D358">
        <v>2020</v>
      </c>
      <c r="E358" t="s">
        <v>7765</v>
      </c>
      <c r="F358">
        <v>32380415</v>
      </c>
    </row>
    <row r="359" spans="1:6" x14ac:dyDescent="0.15">
      <c r="A359" t="s">
        <v>8768</v>
      </c>
      <c r="C359" t="s">
        <v>8770</v>
      </c>
      <c r="D359">
        <v>2020</v>
      </c>
      <c r="E359" t="s">
        <v>8782</v>
      </c>
      <c r="F359">
        <v>32476275</v>
      </c>
    </row>
    <row r="360" spans="1:6" x14ac:dyDescent="0.15">
      <c r="A360" t="s">
        <v>9518</v>
      </c>
      <c r="C360" t="s">
        <v>9520</v>
      </c>
      <c r="D360">
        <v>2013</v>
      </c>
      <c r="E360" t="s">
        <v>9531</v>
      </c>
      <c r="F360">
        <v>24235331</v>
      </c>
    </row>
    <row r="361" spans="1:6" x14ac:dyDescent="0.15">
      <c r="A361" t="s">
        <v>2043</v>
      </c>
      <c r="C361" t="s">
        <v>2045</v>
      </c>
      <c r="D361">
        <v>2019</v>
      </c>
      <c r="E361" t="s">
        <v>2057</v>
      </c>
      <c r="F361">
        <v>30530119</v>
      </c>
    </row>
    <row r="362" spans="1:6" x14ac:dyDescent="0.15">
      <c r="A362" t="s">
        <v>2604</v>
      </c>
      <c r="C362" t="s">
        <v>2606</v>
      </c>
      <c r="D362">
        <v>2020</v>
      </c>
      <c r="E362" t="s">
        <v>2619</v>
      </c>
      <c r="F362">
        <v>32794300</v>
      </c>
    </row>
    <row r="363" spans="1:6" x14ac:dyDescent="0.15">
      <c r="A363" t="s">
        <v>3888</v>
      </c>
      <c r="C363" t="s">
        <v>3890</v>
      </c>
      <c r="D363">
        <v>2020</v>
      </c>
      <c r="E363" t="s">
        <v>3900</v>
      </c>
      <c r="F363">
        <v>32722209</v>
      </c>
    </row>
    <row r="364" spans="1:6" x14ac:dyDescent="0.15">
      <c r="A364" t="s">
        <v>4130</v>
      </c>
      <c r="C364" t="s">
        <v>4132</v>
      </c>
      <c r="D364">
        <v>2012</v>
      </c>
      <c r="E364" t="s">
        <v>4143</v>
      </c>
      <c r="F364">
        <v>22984881</v>
      </c>
    </row>
    <row r="365" spans="1:6" x14ac:dyDescent="0.15">
      <c r="A365" t="s">
        <v>4398</v>
      </c>
      <c r="C365" t="s">
        <v>4400</v>
      </c>
      <c r="D365">
        <v>2019</v>
      </c>
      <c r="E365" t="s">
        <v>4414</v>
      </c>
      <c r="F365">
        <v>31063814</v>
      </c>
    </row>
    <row r="366" spans="1:6" x14ac:dyDescent="0.15">
      <c r="A366" t="s">
        <v>4535</v>
      </c>
      <c r="C366" t="s">
        <v>4537</v>
      </c>
      <c r="D366">
        <v>2019</v>
      </c>
      <c r="E366" t="s">
        <v>4546</v>
      </c>
      <c r="F366">
        <v>31582907</v>
      </c>
    </row>
    <row r="367" spans="1:6" x14ac:dyDescent="0.15">
      <c r="A367" t="s">
        <v>5401</v>
      </c>
      <c r="C367" t="s">
        <v>5403</v>
      </c>
      <c r="D367">
        <v>2015</v>
      </c>
      <c r="E367" t="s">
        <v>5413</v>
      </c>
      <c r="F367">
        <v>25798073</v>
      </c>
    </row>
    <row r="368" spans="1:6" x14ac:dyDescent="0.15">
      <c r="A368" t="s">
        <v>6521</v>
      </c>
      <c r="C368" t="s">
        <v>6523</v>
      </c>
      <c r="D368">
        <v>2017</v>
      </c>
      <c r="E368" t="s">
        <v>6531</v>
      </c>
      <c r="F368">
        <v>28401635</v>
      </c>
    </row>
    <row r="369" spans="1:6" x14ac:dyDescent="0.15">
      <c r="A369" t="s">
        <v>6697</v>
      </c>
      <c r="C369" t="s">
        <v>6699</v>
      </c>
      <c r="D369">
        <v>2020</v>
      </c>
      <c r="E369" t="s">
        <v>6710</v>
      </c>
      <c r="F369">
        <v>32836016</v>
      </c>
    </row>
    <row r="370" spans="1:6" x14ac:dyDescent="0.15">
      <c r="A370" t="s">
        <v>7426</v>
      </c>
      <c r="C370" t="s">
        <v>7428</v>
      </c>
      <c r="D370">
        <v>2020</v>
      </c>
      <c r="E370" t="s">
        <v>7438</v>
      </c>
      <c r="F370">
        <v>32932883</v>
      </c>
    </row>
    <row r="371" spans="1:6" x14ac:dyDescent="0.15">
      <c r="A371" t="s">
        <v>8785</v>
      </c>
      <c r="C371" t="s">
        <v>8787</v>
      </c>
      <c r="D371">
        <v>2020</v>
      </c>
      <c r="E371" t="s">
        <v>8800</v>
      </c>
      <c r="F371">
        <v>32915353</v>
      </c>
    </row>
    <row r="372" spans="1:6" x14ac:dyDescent="0.15">
      <c r="A372" t="s">
        <v>9882</v>
      </c>
      <c r="C372" t="s">
        <v>9884</v>
      </c>
      <c r="D372">
        <v>2015</v>
      </c>
      <c r="E372" t="s">
        <v>9891</v>
      </c>
      <c r="F372">
        <v>26170381</v>
      </c>
    </row>
    <row r="373" spans="1:6" x14ac:dyDescent="0.15">
      <c r="A373" t="s">
        <v>10401</v>
      </c>
      <c r="C373" t="s">
        <v>10403</v>
      </c>
      <c r="D373">
        <v>2019</v>
      </c>
      <c r="E373" t="s">
        <v>10413</v>
      </c>
      <c r="F373">
        <v>31635338</v>
      </c>
    </row>
    <row r="374" spans="1:6" x14ac:dyDescent="0.15">
      <c r="A374" t="s">
        <v>10654</v>
      </c>
      <c r="C374" t="s">
        <v>10656</v>
      </c>
      <c r="D374">
        <v>2020</v>
      </c>
      <c r="E374" t="s">
        <v>10668</v>
      </c>
      <c r="F374">
        <v>33005912</v>
      </c>
    </row>
    <row r="375" spans="1:6" x14ac:dyDescent="0.15">
      <c r="A375" t="s">
        <v>10776</v>
      </c>
      <c r="C375" t="s">
        <v>10778</v>
      </c>
      <c r="D375">
        <v>2020</v>
      </c>
      <c r="E375" t="s">
        <v>10791</v>
      </c>
      <c r="F375">
        <v>31732191</v>
      </c>
    </row>
    <row r="376" spans="1:6" x14ac:dyDescent="0.15">
      <c r="A376" t="s">
        <v>731</v>
      </c>
      <c r="C376" t="s">
        <v>733</v>
      </c>
      <c r="D376">
        <v>2021</v>
      </c>
      <c r="E376" t="s">
        <v>744</v>
      </c>
      <c r="F376">
        <v>33670900</v>
      </c>
    </row>
    <row r="377" spans="1:6" x14ac:dyDescent="0.15">
      <c r="A377" t="s">
        <v>823</v>
      </c>
      <c r="C377" t="s">
        <v>825</v>
      </c>
      <c r="D377">
        <v>2020</v>
      </c>
      <c r="E377" t="s">
        <v>838</v>
      </c>
      <c r="F377">
        <v>31395428</v>
      </c>
    </row>
    <row r="378" spans="1:6" x14ac:dyDescent="0.15">
      <c r="A378" t="s">
        <v>1312</v>
      </c>
      <c r="C378" t="s">
        <v>1314</v>
      </c>
      <c r="D378">
        <v>2020</v>
      </c>
      <c r="E378" t="s">
        <v>1323</v>
      </c>
      <c r="F378">
        <v>32341768</v>
      </c>
    </row>
    <row r="379" spans="1:6" x14ac:dyDescent="0.15">
      <c r="A379" t="s">
        <v>2542</v>
      </c>
      <c r="C379" t="s">
        <v>2544</v>
      </c>
      <c r="D379">
        <v>2019</v>
      </c>
      <c r="E379" t="s">
        <v>2557</v>
      </c>
      <c r="F379">
        <v>31184791</v>
      </c>
    </row>
    <row r="380" spans="1:6" x14ac:dyDescent="0.15">
      <c r="A380" t="s">
        <v>4832</v>
      </c>
      <c r="C380" t="s">
        <v>4834</v>
      </c>
      <c r="D380">
        <v>2020</v>
      </c>
      <c r="E380" t="s">
        <v>4848</v>
      </c>
      <c r="F380">
        <v>32813850</v>
      </c>
    </row>
    <row r="381" spans="1:6" x14ac:dyDescent="0.15">
      <c r="A381" t="s">
        <v>5290</v>
      </c>
      <c r="C381" t="s">
        <v>5292</v>
      </c>
      <c r="D381">
        <v>2021</v>
      </c>
      <c r="E381" t="s">
        <v>5302</v>
      </c>
      <c r="F381">
        <v>33753455</v>
      </c>
    </row>
    <row r="382" spans="1:6" x14ac:dyDescent="0.15">
      <c r="A382" t="s">
        <v>7440</v>
      </c>
      <c r="C382" t="s">
        <v>7442</v>
      </c>
      <c r="D382">
        <v>2019</v>
      </c>
      <c r="E382" t="s">
        <v>7452</v>
      </c>
      <c r="F382">
        <v>30697539</v>
      </c>
    </row>
    <row r="383" spans="1:6" x14ac:dyDescent="0.15">
      <c r="A383" t="s">
        <v>7891</v>
      </c>
      <c r="C383" t="s">
        <v>7892</v>
      </c>
      <c r="D383">
        <v>1992</v>
      </c>
      <c r="E383" t="s">
        <v>7902</v>
      </c>
      <c r="F383">
        <v>1542051</v>
      </c>
    </row>
    <row r="384" spans="1:6" x14ac:dyDescent="0.15">
      <c r="A384" t="s">
        <v>9398</v>
      </c>
      <c r="C384" t="s">
        <v>9400</v>
      </c>
      <c r="D384">
        <v>2020</v>
      </c>
      <c r="E384" t="s">
        <v>9410</v>
      </c>
      <c r="F384" t="s">
        <v>74</v>
      </c>
    </row>
    <row r="385" spans="1:6" x14ac:dyDescent="0.15">
      <c r="A385" t="s">
        <v>9980</v>
      </c>
      <c r="C385" t="s">
        <v>9982</v>
      </c>
      <c r="D385">
        <v>2014</v>
      </c>
      <c r="E385" t="s">
        <v>9994</v>
      </c>
      <c r="F385">
        <v>24825433</v>
      </c>
    </row>
    <row r="386" spans="1:6" x14ac:dyDescent="0.15">
      <c r="A386" t="s">
        <v>10319</v>
      </c>
      <c r="C386" t="s">
        <v>10320</v>
      </c>
      <c r="D386">
        <v>1997</v>
      </c>
      <c r="E386" t="s">
        <v>10327</v>
      </c>
      <c r="F386">
        <v>9199770</v>
      </c>
    </row>
    <row r="387" spans="1:6" x14ac:dyDescent="0.15">
      <c r="A387" t="s">
        <v>10519</v>
      </c>
      <c r="C387" t="s">
        <v>10521</v>
      </c>
      <c r="D387">
        <v>2020</v>
      </c>
      <c r="E387" t="s">
        <v>10534</v>
      </c>
      <c r="F387">
        <v>32641054</v>
      </c>
    </row>
    <row r="388" spans="1:6" x14ac:dyDescent="0.15">
      <c r="A388" t="s">
        <v>10932</v>
      </c>
      <c r="C388" t="s">
        <v>10934</v>
      </c>
      <c r="D388">
        <v>2016</v>
      </c>
      <c r="E388" t="s">
        <v>10946</v>
      </c>
      <c r="F388">
        <v>27110565</v>
      </c>
    </row>
    <row r="389" spans="1:6" x14ac:dyDescent="0.15">
      <c r="A389" t="s">
        <v>385</v>
      </c>
      <c r="C389" t="s">
        <v>387</v>
      </c>
      <c r="D389">
        <v>2018</v>
      </c>
      <c r="E389" t="s">
        <v>400</v>
      </c>
      <c r="F389">
        <v>30236130</v>
      </c>
    </row>
    <row r="390" spans="1:6" x14ac:dyDescent="0.15">
      <c r="A390" t="s">
        <v>889</v>
      </c>
      <c r="C390" t="s">
        <v>891</v>
      </c>
      <c r="D390">
        <v>2019</v>
      </c>
      <c r="E390" t="s">
        <v>903</v>
      </c>
      <c r="F390">
        <v>30415264</v>
      </c>
    </row>
    <row r="391" spans="1:6" x14ac:dyDescent="0.15">
      <c r="A391" t="s">
        <v>1039</v>
      </c>
      <c r="C391" t="s">
        <v>1041</v>
      </c>
      <c r="D391">
        <v>2021</v>
      </c>
      <c r="E391" t="s">
        <v>1054</v>
      </c>
      <c r="F391" t="s">
        <v>74</v>
      </c>
    </row>
    <row r="392" spans="1:6" x14ac:dyDescent="0.15">
      <c r="A392" t="s">
        <v>1325</v>
      </c>
      <c r="C392" t="s">
        <v>1328</v>
      </c>
      <c r="D392">
        <v>2020</v>
      </c>
      <c r="E392" t="s">
        <v>1338</v>
      </c>
      <c r="F392">
        <v>31701453</v>
      </c>
    </row>
    <row r="393" spans="1:6" x14ac:dyDescent="0.15">
      <c r="A393" t="s">
        <v>1916</v>
      </c>
      <c r="C393" t="s">
        <v>1918</v>
      </c>
      <c r="D393">
        <v>2016</v>
      </c>
      <c r="E393" t="s">
        <v>1927</v>
      </c>
      <c r="F393">
        <v>27753025</v>
      </c>
    </row>
    <row r="394" spans="1:6" x14ac:dyDescent="0.15">
      <c r="A394" t="s">
        <v>2278</v>
      </c>
      <c r="C394" t="s">
        <v>2280</v>
      </c>
      <c r="D394">
        <v>2019</v>
      </c>
      <c r="E394" t="s">
        <v>2292</v>
      </c>
      <c r="F394">
        <v>31683842</v>
      </c>
    </row>
    <row r="395" spans="1:6" x14ac:dyDescent="0.15">
      <c r="A395" t="s">
        <v>3603</v>
      </c>
      <c r="C395" t="s">
        <v>3605</v>
      </c>
      <c r="D395">
        <v>2020</v>
      </c>
      <c r="E395" t="s">
        <v>3613</v>
      </c>
      <c r="F395">
        <v>32765789</v>
      </c>
    </row>
    <row r="396" spans="1:6" x14ac:dyDescent="0.15">
      <c r="A396" t="s">
        <v>3861</v>
      </c>
      <c r="C396" t="s">
        <v>3863</v>
      </c>
      <c r="D396">
        <v>2020</v>
      </c>
      <c r="E396" t="s">
        <v>3873</v>
      </c>
      <c r="F396">
        <v>32269293</v>
      </c>
    </row>
    <row r="397" spans="1:6" x14ac:dyDescent="0.15">
      <c r="A397" t="s">
        <v>4460</v>
      </c>
      <c r="C397" t="s">
        <v>4462</v>
      </c>
      <c r="D397">
        <v>2020</v>
      </c>
      <c r="E397" t="s">
        <v>4472</v>
      </c>
      <c r="F397">
        <v>32293248</v>
      </c>
    </row>
    <row r="398" spans="1:6" x14ac:dyDescent="0.15">
      <c r="A398" t="s">
        <v>4646</v>
      </c>
      <c r="C398" t="s">
        <v>4648</v>
      </c>
      <c r="D398">
        <v>2021</v>
      </c>
      <c r="E398" t="s">
        <v>4657</v>
      </c>
      <c r="F398" t="s">
        <v>74</v>
      </c>
    </row>
    <row r="399" spans="1:6" x14ac:dyDescent="0.15">
      <c r="A399" t="s">
        <v>4914</v>
      </c>
      <c r="C399" t="s">
        <v>4916</v>
      </c>
      <c r="D399">
        <v>2019</v>
      </c>
      <c r="E399" t="s">
        <v>4929</v>
      </c>
      <c r="F399">
        <v>30703330</v>
      </c>
    </row>
    <row r="400" spans="1:6" x14ac:dyDescent="0.15">
      <c r="A400" t="s">
        <v>5384</v>
      </c>
      <c r="C400" t="s">
        <v>5386</v>
      </c>
      <c r="D400">
        <v>2014</v>
      </c>
      <c r="E400" t="s">
        <v>5397</v>
      </c>
      <c r="F400">
        <v>25472905</v>
      </c>
    </row>
    <row r="401" spans="1:6" x14ac:dyDescent="0.15">
      <c r="A401" t="s">
        <v>1652</v>
      </c>
      <c r="C401" t="s">
        <v>5981</v>
      </c>
      <c r="D401">
        <v>2018</v>
      </c>
      <c r="E401" t="s">
        <v>5987</v>
      </c>
      <c r="F401">
        <v>29655637</v>
      </c>
    </row>
    <row r="402" spans="1:6" x14ac:dyDescent="0.15">
      <c r="A402" t="s">
        <v>6937</v>
      </c>
      <c r="C402" t="s">
        <v>6939</v>
      </c>
      <c r="D402">
        <v>2020</v>
      </c>
      <c r="E402" t="s">
        <v>6949</v>
      </c>
      <c r="F402">
        <v>33376973</v>
      </c>
    </row>
    <row r="403" spans="1:6" x14ac:dyDescent="0.15">
      <c r="A403" t="s">
        <v>7821</v>
      </c>
      <c r="C403" t="s">
        <v>7823</v>
      </c>
      <c r="D403">
        <v>2016</v>
      </c>
      <c r="E403" t="s">
        <v>7835</v>
      </c>
      <c r="F403">
        <v>26959653</v>
      </c>
    </row>
    <row r="404" spans="1:6" x14ac:dyDescent="0.15">
      <c r="A404" t="s">
        <v>7917</v>
      </c>
      <c r="C404" t="s">
        <v>7919</v>
      </c>
      <c r="D404">
        <v>2020</v>
      </c>
      <c r="E404" t="s">
        <v>7931</v>
      </c>
      <c r="F404">
        <v>32028208</v>
      </c>
    </row>
    <row r="405" spans="1:6" x14ac:dyDescent="0.15">
      <c r="A405" t="s">
        <v>8625</v>
      </c>
      <c r="C405" t="s">
        <v>8627</v>
      </c>
      <c r="D405">
        <v>2018</v>
      </c>
      <c r="E405" t="s">
        <v>8637</v>
      </c>
      <c r="F405">
        <v>30022183</v>
      </c>
    </row>
    <row r="406" spans="1:6" x14ac:dyDescent="0.15">
      <c r="A406" t="s">
        <v>10919</v>
      </c>
      <c r="C406" t="s">
        <v>10921</v>
      </c>
      <c r="D406">
        <v>2020</v>
      </c>
      <c r="E406" t="s">
        <v>10930</v>
      </c>
      <c r="F406">
        <v>33014799</v>
      </c>
    </row>
    <row r="407" spans="1:6" x14ac:dyDescent="0.15">
      <c r="A407" t="s">
        <v>1024</v>
      </c>
      <c r="C407" t="s">
        <v>1026</v>
      </c>
      <c r="D407">
        <v>2019</v>
      </c>
      <c r="E407" t="s">
        <v>1037</v>
      </c>
      <c r="F407">
        <v>31684971</v>
      </c>
    </row>
    <row r="408" spans="1:6" x14ac:dyDescent="0.15">
      <c r="A408" t="s">
        <v>1476</v>
      </c>
      <c r="C408" t="s">
        <v>1479</v>
      </c>
      <c r="D408">
        <v>2017</v>
      </c>
      <c r="E408" t="s">
        <v>1490</v>
      </c>
      <c r="F408">
        <v>28828643</v>
      </c>
    </row>
    <row r="409" spans="1:6" x14ac:dyDescent="0.15">
      <c r="A409" t="s">
        <v>1524</v>
      </c>
      <c r="C409" t="s">
        <v>1526</v>
      </c>
      <c r="D409">
        <v>2020</v>
      </c>
      <c r="E409" t="s">
        <v>1540</v>
      </c>
      <c r="F409">
        <v>32162067</v>
      </c>
    </row>
    <row r="410" spans="1:6" x14ac:dyDescent="0.15">
      <c r="A410" t="s">
        <v>2202</v>
      </c>
      <c r="C410" t="s">
        <v>2204</v>
      </c>
      <c r="D410">
        <v>2021</v>
      </c>
      <c r="E410" t="s">
        <v>2215</v>
      </c>
      <c r="F410">
        <v>34122779</v>
      </c>
    </row>
    <row r="411" spans="1:6" x14ac:dyDescent="0.15">
      <c r="A411" t="s">
        <v>2217</v>
      </c>
      <c r="C411" t="s">
        <v>2219</v>
      </c>
      <c r="D411">
        <v>2020</v>
      </c>
      <c r="E411" t="s">
        <v>2230</v>
      </c>
      <c r="F411">
        <v>33304899</v>
      </c>
    </row>
    <row r="412" spans="1:6" x14ac:dyDescent="0.15">
      <c r="A412" t="s">
        <v>3096</v>
      </c>
      <c r="C412" t="s">
        <v>3098</v>
      </c>
      <c r="D412">
        <v>2019</v>
      </c>
      <c r="E412" t="s">
        <v>3111</v>
      </c>
      <c r="F412">
        <v>31133815</v>
      </c>
    </row>
    <row r="413" spans="1:6" x14ac:dyDescent="0.15">
      <c r="A413" t="s">
        <v>4185</v>
      </c>
      <c r="C413" t="s">
        <v>4187</v>
      </c>
      <c r="D413">
        <v>2021</v>
      </c>
      <c r="E413" t="s">
        <v>4197</v>
      </c>
      <c r="F413">
        <v>33494540</v>
      </c>
    </row>
    <row r="414" spans="1:6" x14ac:dyDescent="0.15">
      <c r="A414" t="s">
        <v>4287</v>
      </c>
      <c r="C414" t="s">
        <v>4289</v>
      </c>
      <c r="D414">
        <v>2018</v>
      </c>
      <c r="E414" t="s">
        <v>4302</v>
      </c>
      <c r="F414">
        <v>28975808</v>
      </c>
    </row>
    <row r="415" spans="1:6" x14ac:dyDescent="0.15">
      <c r="A415" t="s">
        <v>5136</v>
      </c>
      <c r="C415" t="s">
        <v>5138</v>
      </c>
      <c r="D415">
        <v>2019</v>
      </c>
      <c r="E415" t="s">
        <v>5151</v>
      </c>
      <c r="F415">
        <v>30916594</v>
      </c>
    </row>
    <row r="416" spans="1:6" x14ac:dyDescent="0.15">
      <c r="A416" t="s">
        <v>5167</v>
      </c>
      <c r="C416" t="s">
        <v>5169</v>
      </c>
      <c r="D416">
        <v>2020</v>
      </c>
      <c r="E416" t="s">
        <v>5180</v>
      </c>
      <c r="F416">
        <v>32573237</v>
      </c>
    </row>
    <row r="417" spans="1:6" x14ac:dyDescent="0.15">
      <c r="A417" t="s">
        <v>5490</v>
      </c>
      <c r="C417" t="s">
        <v>5493</v>
      </c>
      <c r="D417">
        <v>2018</v>
      </c>
      <c r="E417" t="s">
        <v>5505</v>
      </c>
      <c r="F417">
        <v>29110768</v>
      </c>
    </row>
    <row r="418" spans="1:6" x14ac:dyDescent="0.15">
      <c r="A418" t="s">
        <v>6612</v>
      </c>
      <c r="C418" t="s">
        <v>6615</v>
      </c>
      <c r="D418">
        <v>2018</v>
      </c>
      <c r="E418" t="s">
        <v>6625</v>
      </c>
      <c r="F418">
        <v>30178258</v>
      </c>
    </row>
    <row r="419" spans="1:6" x14ac:dyDescent="0.15">
      <c r="A419" t="s">
        <v>7103</v>
      </c>
      <c r="C419" t="s">
        <v>7105</v>
      </c>
      <c r="D419">
        <v>2020</v>
      </c>
      <c r="E419" t="s">
        <v>7114</v>
      </c>
      <c r="F419">
        <v>32600030</v>
      </c>
    </row>
    <row r="420" spans="1:6" x14ac:dyDescent="0.15">
      <c r="A420" t="s">
        <v>8661</v>
      </c>
      <c r="C420" t="s">
        <v>8663</v>
      </c>
      <c r="D420">
        <v>2019</v>
      </c>
      <c r="E420" t="s">
        <v>74</v>
      </c>
      <c r="F420">
        <v>31808871</v>
      </c>
    </row>
    <row r="421" spans="1:6" x14ac:dyDescent="0.15">
      <c r="A421" t="s">
        <v>9252</v>
      </c>
      <c r="C421" t="s">
        <v>9254</v>
      </c>
      <c r="D421">
        <v>2020</v>
      </c>
      <c r="E421" t="s">
        <v>9265</v>
      </c>
      <c r="F421">
        <v>32982917</v>
      </c>
    </row>
    <row r="422" spans="1:6" x14ac:dyDescent="0.15">
      <c r="A422" t="s">
        <v>716</v>
      </c>
      <c r="C422" t="s">
        <v>718</v>
      </c>
      <c r="D422">
        <v>2020</v>
      </c>
      <c r="E422" t="s">
        <v>729</v>
      </c>
      <c r="F422">
        <v>32341769</v>
      </c>
    </row>
    <row r="423" spans="1:6" x14ac:dyDescent="0.15">
      <c r="A423" t="s">
        <v>857</v>
      </c>
      <c r="C423" t="s">
        <v>859</v>
      </c>
      <c r="D423">
        <v>2020</v>
      </c>
      <c r="E423" t="s">
        <v>870</v>
      </c>
      <c r="F423">
        <v>32782600</v>
      </c>
    </row>
    <row r="424" spans="1:6" x14ac:dyDescent="0.15">
      <c r="A424" t="s">
        <v>2167</v>
      </c>
      <c r="C424" t="s">
        <v>2169</v>
      </c>
      <c r="D424">
        <v>2015</v>
      </c>
      <c r="E424" t="s">
        <v>2182</v>
      </c>
      <c r="F424">
        <v>26150337</v>
      </c>
    </row>
    <row r="425" spans="1:6" x14ac:dyDescent="0.15">
      <c r="A425" t="s">
        <v>2468</v>
      </c>
      <c r="C425" t="s">
        <v>2470</v>
      </c>
      <c r="D425">
        <v>2021</v>
      </c>
      <c r="E425" t="s">
        <v>2478</v>
      </c>
      <c r="F425">
        <v>33498689</v>
      </c>
    </row>
    <row r="426" spans="1:6" x14ac:dyDescent="0.15">
      <c r="A426" t="s">
        <v>2755</v>
      </c>
      <c r="C426" t="s">
        <v>2757</v>
      </c>
      <c r="D426">
        <v>2019</v>
      </c>
      <c r="E426" t="s">
        <v>2769</v>
      </c>
      <c r="F426">
        <v>31921310</v>
      </c>
    </row>
    <row r="427" spans="1:6" x14ac:dyDescent="0.15">
      <c r="A427" t="s">
        <v>2771</v>
      </c>
      <c r="C427" t="s">
        <v>2773</v>
      </c>
      <c r="D427">
        <v>2021</v>
      </c>
      <c r="E427" t="s">
        <v>2785</v>
      </c>
      <c r="F427">
        <v>33994784</v>
      </c>
    </row>
    <row r="428" spans="1:6" x14ac:dyDescent="0.15">
      <c r="A428" t="s">
        <v>2817</v>
      </c>
      <c r="C428" t="s">
        <v>2819</v>
      </c>
      <c r="D428">
        <v>2018</v>
      </c>
      <c r="E428" t="s">
        <v>2832</v>
      </c>
      <c r="F428">
        <v>29851284</v>
      </c>
    </row>
    <row r="429" spans="1:6" x14ac:dyDescent="0.15">
      <c r="A429" t="s">
        <v>3079</v>
      </c>
      <c r="C429" t="s">
        <v>3081</v>
      </c>
      <c r="D429">
        <v>2020</v>
      </c>
      <c r="E429" t="s">
        <v>3093</v>
      </c>
      <c r="F429">
        <v>32980480</v>
      </c>
    </row>
    <row r="430" spans="1:6" x14ac:dyDescent="0.15">
      <c r="A430" t="s">
        <v>3113</v>
      </c>
      <c r="C430" t="s">
        <v>3115</v>
      </c>
      <c r="D430">
        <v>2021</v>
      </c>
      <c r="E430" t="s">
        <v>3124</v>
      </c>
      <c r="F430">
        <v>33580122</v>
      </c>
    </row>
    <row r="431" spans="1:6" x14ac:dyDescent="0.15">
      <c r="A431" t="s">
        <v>3416</v>
      </c>
      <c r="C431" t="s">
        <v>3418</v>
      </c>
      <c r="D431">
        <v>2020</v>
      </c>
      <c r="E431" t="s">
        <v>3428</v>
      </c>
      <c r="F431">
        <v>33007940</v>
      </c>
    </row>
    <row r="432" spans="1:6" x14ac:dyDescent="0.15">
      <c r="A432" t="s">
        <v>3444</v>
      </c>
      <c r="C432" t="s">
        <v>3446</v>
      </c>
      <c r="D432">
        <v>2017</v>
      </c>
      <c r="E432" t="s">
        <v>3459</v>
      </c>
      <c r="F432">
        <v>28088446</v>
      </c>
    </row>
    <row r="433" spans="1:6" x14ac:dyDescent="0.15">
      <c r="A433" t="s">
        <v>3749</v>
      </c>
      <c r="C433" t="s">
        <v>3751</v>
      </c>
      <c r="D433">
        <v>2020</v>
      </c>
      <c r="E433" t="s">
        <v>3762</v>
      </c>
      <c r="F433">
        <v>32603586</v>
      </c>
    </row>
    <row r="434" spans="1:6" x14ac:dyDescent="0.15">
      <c r="A434" t="s">
        <v>5251</v>
      </c>
      <c r="C434" t="s">
        <v>5253</v>
      </c>
      <c r="D434">
        <v>2019</v>
      </c>
      <c r="E434" t="s">
        <v>5261</v>
      </c>
      <c r="F434">
        <v>31371728</v>
      </c>
    </row>
    <row r="435" spans="1:6" x14ac:dyDescent="0.15">
      <c r="A435" t="s">
        <v>5647</v>
      </c>
      <c r="C435" t="s">
        <v>5649</v>
      </c>
      <c r="D435">
        <v>2019</v>
      </c>
      <c r="E435" t="s">
        <v>5659</v>
      </c>
      <c r="F435">
        <v>31466323</v>
      </c>
    </row>
    <row r="436" spans="1:6" x14ac:dyDescent="0.15">
      <c r="A436" t="s">
        <v>6440</v>
      </c>
      <c r="C436" t="s">
        <v>6442</v>
      </c>
      <c r="D436">
        <v>2020</v>
      </c>
      <c r="E436" t="s">
        <v>6450</v>
      </c>
      <c r="F436">
        <v>33311558</v>
      </c>
    </row>
    <row r="437" spans="1:6" x14ac:dyDescent="0.15">
      <c r="A437" t="s">
        <v>6533</v>
      </c>
      <c r="C437" t="s">
        <v>6535</v>
      </c>
      <c r="D437">
        <v>2018</v>
      </c>
      <c r="E437" t="s">
        <v>6546</v>
      </c>
      <c r="F437" t="s">
        <v>74</v>
      </c>
    </row>
    <row r="438" spans="1:6" x14ac:dyDescent="0.15">
      <c r="A438" t="s">
        <v>7041</v>
      </c>
      <c r="C438" t="s">
        <v>7043</v>
      </c>
      <c r="D438">
        <v>2019</v>
      </c>
      <c r="E438" t="s">
        <v>7054</v>
      </c>
      <c r="F438">
        <v>30847303</v>
      </c>
    </row>
    <row r="439" spans="1:6" x14ac:dyDescent="0.15">
      <c r="A439" t="s">
        <v>7793</v>
      </c>
      <c r="C439" t="s">
        <v>7795</v>
      </c>
      <c r="D439">
        <v>2017</v>
      </c>
      <c r="E439" t="s">
        <v>7807</v>
      </c>
      <c r="F439">
        <v>29222696</v>
      </c>
    </row>
    <row r="440" spans="1:6" x14ac:dyDescent="0.15">
      <c r="A440" t="s">
        <v>8727</v>
      </c>
      <c r="C440" t="s">
        <v>8729</v>
      </c>
      <c r="D440">
        <v>2014</v>
      </c>
      <c r="E440" t="s">
        <v>8740</v>
      </c>
      <c r="F440">
        <v>24164173</v>
      </c>
    </row>
    <row r="441" spans="1:6" x14ac:dyDescent="0.15">
      <c r="A441" t="s">
        <v>8803</v>
      </c>
      <c r="C441" t="s">
        <v>8806</v>
      </c>
      <c r="D441">
        <v>2018</v>
      </c>
      <c r="E441" t="s">
        <v>8815</v>
      </c>
      <c r="F441" t="s">
        <v>74</v>
      </c>
    </row>
    <row r="442" spans="1:6" x14ac:dyDescent="0.15">
      <c r="A442" t="s">
        <v>240</v>
      </c>
      <c r="C442" t="s">
        <v>242</v>
      </c>
      <c r="D442">
        <v>2019</v>
      </c>
      <c r="E442" t="s">
        <v>255</v>
      </c>
      <c r="F442">
        <v>30542983</v>
      </c>
    </row>
    <row r="443" spans="1:6" x14ac:dyDescent="0.15">
      <c r="A443" t="s">
        <v>1166</v>
      </c>
      <c r="C443" t="s">
        <v>1168</v>
      </c>
      <c r="D443">
        <v>2021</v>
      </c>
      <c r="E443" t="s">
        <v>1179</v>
      </c>
      <c r="F443">
        <v>33643547</v>
      </c>
    </row>
    <row r="444" spans="1:6" x14ac:dyDescent="0.15">
      <c r="A444" t="s">
        <v>1764</v>
      </c>
      <c r="C444" t="s">
        <v>1766</v>
      </c>
      <c r="D444">
        <v>2018</v>
      </c>
      <c r="E444" t="s">
        <v>1778</v>
      </c>
      <c r="F444">
        <v>29491222</v>
      </c>
    </row>
    <row r="445" spans="1:6" x14ac:dyDescent="0.15">
      <c r="A445" t="s">
        <v>2059</v>
      </c>
      <c r="C445" t="s">
        <v>2061</v>
      </c>
      <c r="D445">
        <v>2020</v>
      </c>
      <c r="E445" t="s">
        <v>2071</v>
      </c>
      <c r="F445">
        <v>32731547</v>
      </c>
    </row>
    <row r="446" spans="1:6" x14ac:dyDescent="0.15">
      <c r="A446" t="s">
        <v>2480</v>
      </c>
      <c r="C446" t="s">
        <v>2482</v>
      </c>
      <c r="D446">
        <v>2021</v>
      </c>
      <c r="E446" t="s">
        <v>2495</v>
      </c>
      <c r="F446">
        <v>34309083</v>
      </c>
    </row>
    <row r="447" spans="1:6" x14ac:dyDescent="0.15">
      <c r="A447" t="s">
        <v>3346</v>
      </c>
      <c r="C447" t="s">
        <v>3348</v>
      </c>
      <c r="D447">
        <v>2016</v>
      </c>
      <c r="E447" t="s">
        <v>3357</v>
      </c>
      <c r="F447">
        <v>27434143</v>
      </c>
    </row>
    <row r="448" spans="1:6" x14ac:dyDescent="0.15">
      <c r="A448" t="s">
        <v>3979</v>
      </c>
      <c r="C448" t="s">
        <v>3981</v>
      </c>
      <c r="D448">
        <v>2020</v>
      </c>
      <c r="E448" t="s">
        <v>3991</v>
      </c>
      <c r="F448">
        <v>33106557</v>
      </c>
    </row>
    <row r="449" spans="1:6" x14ac:dyDescent="0.15">
      <c r="A449" t="s">
        <v>5353</v>
      </c>
      <c r="C449" t="s">
        <v>5355</v>
      </c>
      <c r="D449">
        <v>2021</v>
      </c>
      <c r="E449" t="s">
        <v>5366</v>
      </c>
      <c r="F449">
        <v>34453041</v>
      </c>
    </row>
    <row r="450" spans="1:6" x14ac:dyDescent="0.15">
      <c r="A450" t="s">
        <v>5759</v>
      </c>
      <c r="C450" t="s">
        <v>5761</v>
      </c>
      <c r="D450">
        <v>2020</v>
      </c>
      <c r="E450" t="s">
        <v>5773</v>
      </c>
      <c r="F450">
        <v>32602227</v>
      </c>
    </row>
    <row r="451" spans="1:6" x14ac:dyDescent="0.15">
      <c r="A451" t="s">
        <v>5989</v>
      </c>
      <c r="C451" t="s">
        <v>5991</v>
      </c>
      <c r="D451">
        <v>2020</v>
      </c>
      <c r="E451" t="s">
        <v>6000</v>
      </c>
      <c r="F451">
        <v>32978452</v>
      </c>
    </row>
    <row r="452" spans="1:6" x14ac:dyDescent="0.15">
      <c r="A452" t="s">
        <v>7379</v>
      </c>
      <c r="C452" t="s">
        <v>7381</v>
      </c>
      <c r="D452">
        <v>2000</v>
      </c>
      <c r="E452" t="s">
        <v>74</v>
      </c>
      <c r="F452">
        <v>10818607</v>
      </c>
    </row>
    <row r="453" spans="1:6" x14ac:dyDescent="0.15">
      <c r="A453" t="s">
        <v>9137</v>
      </c>
      <c r="C453" t="s">
        <v>9139</v>
      </c>
      <c r="D453">
        <v>2020</v>
      </c>
      <c r="E453" t="s">
        <v>9149</v>
      </c>
      <c r="F453">
        <v>32246814</v>
      </c>
    </row>
    <row r="454" spans="1:6" x14ac:dyDescent="0.15">
      <c r="A454" t="s">
        <v>9412</v>
      </c>
      <c r="C454" t="s">
        <v>9414</v>
      </c>
      <c r="D454">
        <v>2021</v>
      </c>
      <c r="E454" t="s">
        <v>9424</v>
      </c>
      <c r="F454">
        <v>34105205</v>
      </c>
    </row>
    <row r="455" spans="1:6" x14ac:dyDescent="0.15">
      <c r="A455" t="s">
        <v>9595</v>
      </c>
      <c r="C455" t="s">
        <v>9597</v>
      </c>
      <c r="D455">
        <v>2020</v>
      </c>
      <c r="E455" t="s">
        <v>9610</v>
      </c>
      <c r="F455">
        <v>31982644</v>
      </c>
    </row>
    <row r="456" spans="1:6" x14ac:dyDescent="0.15">
      <c r="A456" t="s">
        <v>9663</v>
      </c>
      <c r="C456" t="s">
        <v>9665</v>
      </c>
      <c r="D456">
        <v>2021</v>
      </c>
      <c r="E456" t="s">
        <v>9677</v>
      </c>
      <c r="F456">
        <v>34001236</v>
      </c>
    </row>
    <row r="457" spans="1:6" x14ac:dyDescent="0.15">
      <c r="A457" t="s">
        <v>9798</v>
      </c>
      <c r="C457" t="s">
        <v>9800</v>
      </c>
      <c r="D457">
        <v>2020</v>
      </c>
      <c r="E457" t="s">
        <v>9812</v>
      </c>
      <c r="F457">
        <v>32765191</v>
      </c>
    </row>
    <row r="458" spans="1:6" x14ac:dyDescent="0.15">
      <c r="A458" t="s">
        <v>10441</v>
      </c>
      <c r="C458" t="s">
        <v>10442</v>
      </c>
      <c r="D458">
        <v>1992</v>
      </c>
      <c r="E458" t="s">
        <v>10449</v>
      </c>
      <c r="F458">
        <v>1315257</v>
      </c>
    </row>
    <row r="459" spans="1:6" x14ac:dyDescent="0.15">
      <c r="A459" t="s">
        <v>1216</v>
      </c>
      <c r="C459" t="s">
        <v>1218</v>
      </c>
      <c r="D459">
        <v>2021</v>
      </c>
      <c r="E459" t="s">
        <v>1227</v>
      </c>
      <c r="F459">
        <v>33915956</v>
      </c>
    </row>
    <row r="460" spans="1:6" x14ac:dyDescent="0.15">
      <c r="A460" t="s">
        <v>1343</v>
      </c>
      <c r="C460" t="s">
        <v>1345</v>
      </c>
      <c r="D460">
        <v>2020</v>
      </c>
      <c r="E460" t="s">
        <v>1358</v>
      </c>
      <c r="F460">
        <v>32580578</v>
      </c>
    </row>
    <row r="461" spans="1:6" x14ac:dyDescent="0.15">
      <c r="A461" t="s">
        <v>3143</v>
      </c>
      <c r="C461" t="s">
        <v>3145</v>
      </c>
      <c r="D461">
        <v>2021</v>
      </c>
      <c r="E461" t="s">
        <v>3155</v>
      </c>
      <c r="F461">
        <v>33761899</v>
      </c>
    </row>
    <row r="462" spans="1:6" x14ac:dyDescent="0.15">
      <c r="A462" t="s">
        <v>3615</v>
      </c>
      <c r="C462" t="s">
        <v>3617</v>
      </c>
      <c r="D462">
        <v>2021</v>
      </c>
      <c r="E462" t="s">
        <v>3626</v>
      </c>
      <c r="F462">
        <v>33420117</v>
      </c>
    </row>
    <row r="463" spans="1:6" x14ac:dyDescent="0.15">
      <c r="A463" t="s">
        <v>3902</v>
      </c>
      <c r="C463" t="s">
        <v>3904</v>
      </c>
      <c r="D463">
        <v>2020</v>
      </c>
      <c r="E463" t="s">
        <v>3917</v>
      </c>
      <c r="F463" t="s">
        <v>74</v>
      </c>
    </row>
    <row r="464" spans="1:6" x14ac:dyDescent="0.15">
      <c r="A464" t="s">
        <v>4865</v>
      </c>
      <c r="C464" t="s">
        <v>4867</v>
      </c>
      <c r="D464">
        <v>2021</v>
      </c>
      <c r="E464" t="s">
        <v>4877</v>
      </c>
      <c r="F464">
        <v>33753167</v>
      </c>
    </row>
    <row r="465" spans="1:6" x14ac:dyDescent="0.15">
      <c r="A465" t="s">
        <v>5590</v>
      </c>
      <c r="C465" t="s">
        <v>5592</v>
      </c>
      <c r="D465">
        <v>2020</v>
      </c>
      <c r="E465" t="s">
        <v>5601</v>
      </c>
      <c r="F465">
        <v>32797865</v>
      </c>
    </row>
    <row r="466" spans="1:6" x14ac:dyDescent="0.15">
      <c r="A466" t="s">
        <v>7988</v>
      </c>
      <c r="C466" t="s">
        <v>7990</v>
      </c>
      <c r="D466">
        <v>2020</v>
      </c>
      <c r="E466" t="s">
        <v>8002</v>
      </c>
      <c r="F466">
        <v>32741216</v>
      </c>
    </row>
    <row r="467" spans="1:6" x14ac:dyDescent="0.15">
      <c r="A467" t="s">
        <v>8004</v>
      </c>
      <c r="C467" t="s">
        <v>8006</v>
      </c>
      <c r="D467">
        <v>2020</v>
      </c>
      <c r="E467" t="s">
        <v>8019</v>
      </c>
      <c r="F467">
        <v>33194377</v>
      </c>
    </row>
    <row r="468" spans="1:6" x14ac:dyDescent="0.15">
      <c r="A468" t="s">
        <v>8258</v>
      </c>
      <c r="C468" t="s">
        <v>8259</v>
      </c>
      <c r="D468">
        <v>1993</v>
      </c>
      <c r="E468" t="s">
        <v>74</v>
      </c>
      <c r="F468">
        <v>7678433</v>
      </c>
    </row>
    <row r="469" spans="1:6" x14ac:dyDescent="0.15">
      <c r="A469" t="s">
        <v>8302</v>
      </c>
      <c r="C469" t="s">
        <v>8304</v>
      </c>
      <c r="D469">
        <v>2021</v>
      </c>
      <c r="E469" t="s">
        <v>8317</v>
      </c>
      <c r="F469">
        <v>33658079</v>
      </c>
    </row>
    <row r="470" spans="1:6" x14ac:dyDescent="0.15">
      <c r="A470" t="s">
        <v>8755</v>
      </c>
      <c r="C470" t="s">
        <v>8757</v>
      </c>
      <c r="D470">
        <v>2021</v>
      </c>
      <c r="E470" t="s">
        <v>8766</v>
      </c>
      <c r="F470">
        <v>33491014</v>
      </c>
    </row>
    <row r="471" spans="1:6" x14ac:dyDescent="0.15">
      <c r="A471" t="s">
        <v>9093</v>
      </c>
      <c r="C471" t="s">
        <v>9095</v>
      </c>
      <c r="D471">
        <v>2021</v>
      </c>
      <c r="E471" t="s">
        <v>9104</v>
      </c>
      <c r="F471">
        <v>34545097</v>
      </c>
    </row>
    <row r="472" spans="1:6" x14ac:dyDescent="0.15">
      <c r="A472" t="s">
        <v>9581</v>
      </c>
      <c r="C472" t="s">
        <v>9583</v>
      </c>
      <c r="D472">
        <v>2021</v>
      </c>
      <c r="E472" t="s">
        <v>9593</v>
      </c>
      <c r="F472">
        <v>33979310</v>
      </c>
    </row>
    <row r="473" spans="1:6" x14ac:dyDescent="0.15">
      <c r="A473" t="s">
        <v>10679</v>
      </c>
      <c r="C473" t="s">
        <v>10681</v>
      </c>
      <c r="D473">
        <v>2019</v>
      </c>
      <c r="E473" t="s">
        <v>10687</v>
      </c>
      <c r="F473">
        <v>30787346</v>
      </c>
    </row>
    <row r="474" spans="1:6" x14ac:dyDescent="0.15">
      <c r="A474" t="s">
        <v>351</v>
      </c>
      <c r="C474" t="s">
        <v>353</v>
      </c>
      <c r="D474">
        <v>2020</v>
      </c>
      <c r="E474" t="s">
        <v>365</v>
      </c>
      <c r="F474">
        <v>32551866</v>
      </c>
    </row>
    <row r="475" spans="1:6" x14ac:dyDescent="0.15">
      <c r="A475" t="s">
        <v>841</v>
      </c>
      <c r="C475" t="s">
        <v>843</v>
      </c>
      <c r="D475">
        <v>2021</v>
      </c>
      <c r="E475" t="s">
        <v>854</v>
      </c>
      <c r="F475">
        <v>33575258</v>
      </c>
    </row>
    <row r="476" spans="1:6" x14ac:dyDescent="0.15">
      <c r="A476" t="s">
        <v>1082</v>
      </c>
      <c r="C476" t="s">
        <v>1084</v>
      </c>
      <c r="D476">
        <v>2021</v>
      </c>
      <c r="E476" t="s">
        <v>1095</v>
      </c>
      <c r="F476">
        <v>34158841</v>
      </c>
    </row>
    <row r="477" spans="1:6" x14ac:dyDescent="0.15">
      <c r="A477" t="s">
        <v>1573</v>
      </c>
      <c r="C477" t="s">
        <v>1575</v>
      </c>
      <c r="D477">
        <v>2021</v>
      </c>
      <c r="E477" t="s">
        <v>1587</v>
      </c>
      <c r="F477">
        <v>33375577</v>
      </c>
    </row>
    <row r="478" spans="1:6" x14ac:dyDescent="0.15">
      <c r="A478" t="s">
        <v>1701</v>
      </c>
      <c r="C478" t="s">
        <v>1703</v>
      </c>
      <c r="D478">
        <v>2021</v>
      </c>
      <c r="E478" t="s">
        <v>1713</v>
      </c>
      <c r="F478">
        <v>33921829</v>
      </c>
    </row>
    <row r="479" spans="1:6" x14ac:dyDescent="0.15">
      <c r="A479" t="s">
        <v>1868</v>
      </c>
      <c r="C479" t="s">
        <v>1870</v>
      </c>
      <c r="D479">
        <v>2019</v>
      </c>
      <c r="E479" t="s">
        <v>1882</v>
      </c>
      <c r="F479">
        <v>31547130</v>
      </c>
    </row>
    <row r="480" spans="1:6" x14ac:dyDescent="0.15">
      <c r="A480" t="s">
        <v>4319</v>
      </c>
      <c r="C480" t="s">
        <v>4321</v>
      </c>
      <c r="D480">
        <v>2021</v>
      </c>
      <c r="E480" t="s">
        <v>4334</v>
      </c>
      <c r="F480">
        <v>33226554</v>
      </c>
    </row>
    <row r="481" spans="1:6" x14ac:dyDescent="0.15">
      <c r="A481" t="s">
        <v>4618</v>
      </c>
      <c r="C481" t="s">
        <v>4620</v>
      </c>
      <c r="D481">
        <v>2020</v>
      </c>
      <c r="E481" t="s">
        <v>4630</v>
      </c>
      <c r="F481">
        <v>32165241</v>
      </c>
    </row>
    <row r="482" spans="1:6" x14ac:dyDescent="0.15">
      <c r="A482" t="s">
        <v>2337</v>
      </c>
      <c r="C482" t="s">
        <v>4990</v>
      </c>
      <c r="D482">
        <v>2018</v>
      </c>
      <c r="E482" t="s">
        <v>4997</v>
      </c>
      <c r="F482">
        <v>29600371</v>
      </c>
    </row>
    <row r="483" spans="1:6" x14ac:dyDescent="0.15">
      <c r="A483" t="s">
        <v>5317</v>
      </c>
      <c r="C483" t="s">
        <v>5319</v>
      </c>
      <c r="D483">
        <v>2020</v>
      </c>
      <c r="E483" t="s">
        <v>5335</v>
      </c>
      <c r="F483" t="s">
        <v>74</v>
      </c>
    </row>
    <row r="484" spans="1:6" x14ac:dyDescent="0.15">
      <c r="A484" t="s">
        <v>5918</v>
      </c>
      <c r="C484" t="s">
        <v>5920</v>
      </c>
      <c r="D484">
        <v>2020</v>
      </c>
      <c r="E484" t="s">
        <v>5932</v>
      </c>
      <c r="F484">
        <v>32240782</v>
      </c>
    </row>
    <row r="485" spans="1:6" x14ac:dyDescent="0.15">
      <c r="A485" t="s">
        <v>6640</v>
      </c>
      <c r="C485" t="s">
        <v>6642</v>
      </c>
      <c r="D485">
        <v>2021</v>
      </c>
      <c r="E485" t="s">
        <v>6651</v>
      </c>
      <c r="F485">
        <v>33808110</v>
      </c>
    </row>
    <row r="486" spans="1:6" x14ac:dyDescent="0.15">
      <c r="A486" t="s">
        <v>6838</v>
      </c>
      <c r="C486" t="s">
        <v>6840</v>
      </c>
      <c r="D486">
        <v>2020</v>
      </c>
      <c r="E486" t="s">
        <v>6849</v>
      </c>
      <c r="F486">
        <v>32966397</v>
      </c>
    </row>
    <row r="487" spans="1:6" x14ac:dyDescent="0.15">
      <c r="A487" t="s">
        <v>7144</v>
      </c>
      <c r="C487" t="s">
        <v>7146</v>
      </c>
      <c r="D487">
        <v>2020</v>
      </c>
      <c r="E487" t="s">
        <v>7157</v>
      </c>
      <c r="F487">
        <v>32760343</v>
      </c>
    </row>
    <row r="488" spans="1:6" x14ac:dyDescent="0.15">
      <c r="A488" t="s">
        <v>7222</v>
      </c>
      <c r="C488" t="s">
        <v>7223</v>
      </c>
      <c r="D488">
        <v>1997</v>
      </c>
      <c r="E488" t="s">
        <v>74</v>
      </c>
      <c r="F488">
        <v>9368286</v>
      </c>
    </row>
    <row r="489" spans="1:6" x14ac:dyDescent="0.15">
      <c r="A489" t="s">
        <v>7609</v>
      </c>
      <c r="C489" t="s">
        <v>7611</v>
      </c>
      <c r="D489">
        <v>2021</v>
      </c>
      <c r="E489" t="s">
        <v>7624</v>
      </c>
      <c r="F489">
        <v>33945510</v>
      </c>
    </row>
    <row r="490" spans="1:6" x14ac:dyDescent="0.15">
      <c r="A490" t="s">
        <v>7742</v>
      </c>
      <c r="C490" t="s">
        <v>7744</v>
      </c>
      <c r="D490">
        <v>2021</v>
      </c>
      <c r="E490" t="s">
        <v>7752</v>
      </c>
      <c r="F490">
        <v>33599630</v>
      </c>
    </row>
    <row r="491" spans="1:6" x14ac:dyDescent="0.15">
      <c r="A491" t="s">
        <v>7976</v>
      </c>
      <c r="C491" t="s">
        <v>7978</v>
      </c>
      <c r="D491">
        <v>2020</v>
      </c>
      <c r="E491" t="s">
        <v>7986</v>
      </c>
      <c r="F491">
        <v>32634139</v>
      </c>
    </row>
    <row r="492" spans="1:6" x14ac:dyDescent="0.15">
      <c r="A492" t="s">
        <v>9564</v>
      </c>
      <c r="C492" t="s">
        <v>9566</v>
      </c>
      <c r="D492">
        <v>2020</v>
      </c>
      <c r="E492" t="s">
        <v>9579</v>
      </c>
      <c r="F492">
        <v>32160132</v>
      </c>
    </row>
    <row r="493" spans="1:6" x14ac:dyDescent="0.15">
      <c r="A493" t="s">
        <v>9901</v>
      </c>
      <c r="C493" t="s">
        <v>9902</v>
      </c>
      <c r="D493">
        <v>2006</v>
      </c>
      <c r="E493" t="s">
        <v>9910</v>
      </c>
      <c r="F493">
        <v>16408294</v>
      </c>
    </row>
    <row r="494" spans="1:6" x14ac:dyDescent="0.15">
      <c r="A494" t="s">
        <v>9951</v>
      </c>
      <c r="C494" t="s">
        <v>9953</v>
      </c>
      <c r="D494">
        <v>2014</v>
      </c>
      <c r="E494" t="s">
        <v>9965</v>
      </c>
      <c r="F494">
        <v>26425612</v>
      </c>
    </row>
    <row r="495" spans="1:6" x14ac:dyDescent="0.15">
      <c r="A495" t="s">
        <v>10059</v>
      </c>
      <c r="C495" t="s">
        <v>10061</v>
      </c>
      <c r="D495">
        <v>2015</v>
      </c>
      <c r="E495" t="s">
        <v>10072</v>
      </c>
      <c r="F495">
        <v>26431820</v>
      </c>
    </row>
    <row r="496" spans="1:6" x14ac:dyDescent="0.15">
      <c r="A496" t="s">
        <v>10174</v>
      </c>
      <c r="C496" t="s">
        <v>10176</v>
      </c>
      <c r="D496">
        <v>2021</v>
      </c>
      <c r="E496" t="s">
        <v>10181</v>
      </c>
      <c r="F496">
        <v>34517648</v>
      </c>
    </row>
    <row r="497" spans="1:6" x14ac:dyDescent="0.15">
      <c r="A497" t="s">
        <v>10415</v>
      </c>
      <c r="C497" t="s">
        <v>10417</v>
      </c>
      <c r="D497">
        <v>2017</v>
      </c>
      <c r="E497" t="s">
        <v>10426</v>
      </c>
      <c r="F497">
        <v>28232516</v>
      </c>
    </row>
    <row r="498" spans="1:6" x14ac:dyDescent="0.15">
      <c r="A498" t="s">
        <v>10603</v>
      </c>
      <c r="C498" t="s">
        <v>10605</v>
      </c>
      <c r="D498">
        <v>2017</v>
      </c>
      <c r="E498" t="s">
        <v>10614</v>
      </c>
      <c r="F498">
        <v>28756229</v>
      </c>
    </row>
    <row r="499" spans="1:6" x14ac:dyDescent="0.15">
      <c r="A499" t="s">
        <v>454</v>
      </c>
      <c r="C499" t="s">
        <v>457</v>
      </c>
      <c r="D499">
        <v>2021</v>
      </c>
      <c r="E499" t="s">
        <v>467</v>
      </c>
      <c r="F499">
        <v>33420990</v>
      </c>
    </row>
    <row r="500" spans="1:6" x14ac:dyDescent="0.15">
      <c r="A500" t="s">
        <v>1114</v>
      </c>
      <c r="C500" t="s">
        <v>1117</v>
      </c>
      <c r="D500">
        <v>2022</v>
      </c>
      <c r="E500" t="s">
        <v>1131</v>
      </c>
      <c r="F500">
        <v>32603406</v>
      </c>
    </row>
    <row r="501" spans="1:6" x14ac:dyDescent="0.15">
      <c r="A501" t="s">
        <v>1591</v>
      </c>
      <c r="C501" t="s">
        <v>1593</v>
      </c>
      <c r="D501">
        <v>2021</v>
      </c>
      <c r="E501" t="s">
        <v>1604</v>
      </c>
      <c r="F501">
        <v>34295456</v>
      </c>
    </row>
    <row r="502" spans="1:6" x14ac:dyDescent="0.15">
      <c r="A502" t="s">
        <v>2246</v>
      </c>
      <c r="C502" t="s">
        <v>2248</v>
      </c>
      <c r="D502">
        <v>2017</v>
      </c>
      <c r="E502" t="s">
        <v>2258</v>
      </c>
      <c r="F502">
        <v>28387728</v>
      </c>
    </row>
    <row r="503" spans="1:6" x14ac:dyDescent="0.15">
      <c r="A503" t="s">
        <v>2498</v>
      </c>
      <c r="C503" t="s">
        <v>2500</v>
      </c>
      <c r="D503">
        <v>2021</v>
      </c>
      <c r="E503" t="s">
        <v>2510</v>
      </c>
      <c r="F503">
        <v>33671772</v>
      </c>
    </row>
    <row r="504" spans="1:6" x14ac:dyDescent="0.15">
      <c r="A504" t="s">
        <v>2574</v>
      </c>
      <c r="C504" t="s">
        <v>2576</v>
      </c>
      <c r="D504">
        <v>2021</v>
      </c>
      <c r="E504" t="s">
        <v>2587</v>
      </c>
      <c r="F504">
        <v>33298282</v>
      </c>
    </row>
    <row r="505" spans="1:6" x14ac:dyDescent="0.15">
      <c r="A505" t="s">
        <v>2990</v>
      </c>
      <c r="C505" t="s">
        <v>2992</v>
      </c>
      <c r="D505">
        <v>2021</v>
      </c>
      <c r="E505" t="s">
        <v>3005</v>
      </c>
      <c r="F505">
        <v>33472105</v>
      </c>
    </row>
    <row r="506" spans="1:6" x14ac:dyDescent="0.15">
      <c r="A506" t="s">
        <v>3265</v>
      </c>
      <c r="C506" t="s">
        <v>3267</v>
      </c>
      <c r="D506">
        <v>2021</v>
      </c>
      <c r="E506" t="s">
        <v>3280</v>
      </c>
      <c r="F506">
        <v>33756122</v>
      </c>
    </row>
    <row r="507" spans="1:6" x14ac:dyDescent="0.15">
      <c r="A507" t="s">
        <v>5029</v>
      </c>
      <c r="C507" t="s">
        <v>5031</v>
      </c>
      <c r="D507">
        <v>2018</v>
      </c>
      <c r="E507" t="s">
        <v>5042</v>
      </c>
      <c r="F507">
        <v>28372464</v>
      </c>
    </row>
    <row r="508" spans="1:6" x14ac:dyDescent="0.15">
      <c r="A508" t="s">
        <v>5894</v>
      </c>
      <c r="C508" t="s">
        <v>5896</v>
      </c>
      <c r="D508">
        <v>2021</v>
      </c>
      <c r="E508" t="s">
        <v>5905</v>
      </c>
      <c r="F508">
        <v>33669497</v>
      </c>
    </row>
    <row r="509" spans="1:6" x14ac:dyDescent="0.15">
      <c r="A509" t="s">
        <v>6091</v>
      </c>
      <c r="C509" t="s">
        <v>6093</v>
      </c>
      <c r="D509">
        <v>2017</v>
      </c>
      <c r="E509" t="s">
        <v>6104</v>
      </c>
      <c r="F509">
        <v>30023529</v>
      </c>
    </row>
    <row r="510" spans="1:6" x14ac:dyDescent="0.15">
      <c r="A510" t="s">
        <v>6415</v>
      </c>
      <c r="C510" t="s">
        <v>6417</v>
      </c>
      <c r="D510">
        <v>2021</v>
      </c>
      <c r="E510" t="s">
        <v>6425</v>
      </c>
      <c r="F510">
        <v>34369746</v>
      </c>
    </row>
    <row r="511" spans="1:6" x14ac:dyDescent="0.15">
      <c r="A511" t="s">
        <v>7190</v>
      </c>
      <c r="C511" t="s">
        <v>7192</v>
      </c>
      <c r="D511">
        <v>2014</v>
      </c>
      <c r="E511" t="s">
        <v>7203</v>
      </c>
      <c r="F511">
        <v>24046067</v>
      </c>
    </row>
    <row r="512" spans="1:6" x14ac:dyDescent="0.15">
      <c r="A512" t="s">
        <v>7311</v>
      </c>
      <c r="C512" t="s">
        <v>7313</v>
      </c>
      <c r="D512">
        <v>2020</v>
      </c>
      <c r="E512" t="s">
        <v>7323</v>
      </c>
      <c r="F512">
        <v>32622965</v>
      </c>
    </row>
    <row r="513" spans="1:6" x14ac:dyDescent="0.15">
      <c r="A513" t="s">
        <v>8143</v>
      </c>
      <c r="C513" t="s">
        <v>8145</v>
      </c>
      <c r="D513">
        <v>2021</v>
      </c>
      <c r="E513" t="s">
        <v>8153</v>
      </c>
      <c r="F513">
        <v>33651959</v>
      </c>
    </row>
    <row r="514" spans="1:6" x14ac:dyDescent="0.15">
      <c r="A514" t="s">
        <v>8212</v>
      </c>
      <c r="C514" t="s">
        <v>8214</v>
      </c>
      <c r="D514">
        <v>2022</v>
      </c>
      <c r="E514" t="s">
        <v>8221</v>
      </c>
      <c r="F514">
        <v>34637590</v>
      </c>
    </row>
    <row r="515" spans="1:6" x14ac:dyDescent="0.15">
      <c r="A515" t="s">
        <v>8524</v>
      </c>
      <c r="C515" t="s">
        <v>8526</v>
      </c>
      <c r="D515">
        <v>2021</v>
      </c>
      <c r="E515" t="s">
        <v>8537</v>
      </c>
      <c r="F515">
        <v>33488093</v>
      </c>
    </row>
    <row r="516" spans="1:6" x14ac:dyDescent="0.15">
      <c r="A516" t="s">
        <v>8998</v>
      </c>
      <c r="C516" t="s">
        <v>9000</v>
      </c>
      <c r="D516">
        <v>2022</v>
      </c>
      <c r="E516" t="s">
        <v>9008</v>
      </c>
      <c r="F516">
        <v>34890883</v>
      </c>
    </row>
    <row r="517" spans="1:6" x14ac:dyDescent="0.15">
      <c r="A517" t="s">
        <v>9612</v>
      </c>
      <c r="C517" t="s">
        <v>9614</v>
      </c>
      <c r="D517">
        <v>2021</v>
      </c>
      <c r="E517" t="s">
        <v>9626</v>
      </c>
      <c r="F517">
        <v>33867829</v>
      </c>
    </row>
    <row r="518" spans="1:6" x14ac:dyDescent="0.15">
      <c r="A518" t="s">
        <v>9628</v>
      </c>
      <c r="C518" t="s">
        <v>9631</v>
      </c>
      <c r="D518">
        <v>2019</v>
      </c>
      <c r="E518" t="s">
        <v>9642</v>
      </c>
      <c r="F518">
        <v>30350211</v>
      </c>
    </row>
    <row r="519" spans="1:6" x14ac:dyDescent="0.15">
      <c r="A519" t="s">
        <v>10360</v>
      </c>
      <c r="C519" t="s">
        <v>10362</v>
      </c>
      <c r="D519">
        <v>2020</v>
      </c>
      <c r="E519" t="s">
        <v>10372</v>
      </c>
      <c r="F519">
        <v>33117738</v>
      </c>
    </row>
    <row r="520" spans="1:6" x14ac:dyDescent="0.15">
      <c r="A520" t="s">
        <v>10564</v>
      </c>
      <c r="C520" t="s">
        <v>10566</v>
      </c>
      <c r="D520">
        <v>2022</v>
      </c>
      <c r="E520" t="s">
        <v>10576</v>
      </c>
      <c r="F520">
        <v>34750787</v>
      </c>
    </row>
    <row r="521" spans="1:6" x14ac:dyDescent="0.15">
      <c r="A521" t="s">
        <v>10749</v>
      </c>
      <c r="C521" t="s">
        <v>10751</v>
      </c>
      <c r="D521">
        <v>2022</v>
      </c>
      <c r="E521" t="s">
        <v>10761</v>
      </c>
      <c r="F521">
        <v>34656690</v>
      </c>
    </row>
    <row r="522" spans="1:6" x14ac:dyDescent="0.15">
      <c r="A522" t="s">
        <v>11060</v>
      </c>
      <c r="C522" t="s">
        <v>11062</v>
      </c>
      <c r="D522">
        <v>2019</v>
      </c>
      <c r="E522" t="s">
        <v>11071</v>
      </c>
      <c r="F522">
        <v>30954730</v>
      </c>
    </row>
    <row r="523" spans="1:6" x14ac:dyDescent="0.15">
      <c r="A523" t="s">
        <v>95</v>
      </c>
      <c r="C523" t="s">
        <v>97</v>
      </c>
      <c r="D523">
        <v>2021</v>
      </c>
      <c r="E523" t="s">
        <v>110</v>
      </c>
      <c r="F523">
        <v>33569297</v>
      </c>
    </row>
    <row r="524" spans="1:6" x14ac:dyDescent="0.15">
      <c r="A524" t="s">
        <v>294</v>
      </c>
      <c r="C524" t="s">
        <v>296</v>
      </c>
      <c r="D524">
        <v>2021</v>
      </c>
      <c r="E524" t="s">
        <v>309</v>
      </c>
      <c r="F524">
        <v>34103018</v>
      </c>
    </row>
    <row r="525" spans="1:6" x14ac:dyDescent="0.15">
      <c r="A525" t="s">
        <v>336</v>
      </c>
      <c r="C525" t="s">
        <v>338</v>
      </c>
      <c r="D525">
        <v>2021</v>
      </c>
      <c r="E525" t="s">
        <v>348</v>
      </c>
      <c r="F525">
        <v>33918465</v>
      </c>
    </row>
    <row r="526" spans="1:6" x14ac:dyDescent="0.15">
      <c r="A526" t="s">
        <v>958</v>
      </c>
      <c r="C526" t="s">
        <v>960</v>
      </c>
      <c r="D526">
        <v>2020</v>
      </c>
      <c r="E526" t="s">
        <v>970</v>
      </c>
      <c r="F526">
        <v>33260345</v>
      </c>
    </row>
    <row r="527" spans="1:6" x14ac:dyDescent="0.15">
      <c r="A527" t="s">
        <v>989</v>
      </c>
      <c r="C527" t="s">
        <v>991</v>
      </c>
      <c r="D527">
        <v>2021</v>
      </c>
      <c r="E527" t="s">
        <v>1004</v>
      </c>
      <c r="F527">
        <v>34298496</v>
      </c>
    </row>
    <row r="528" spans="1:6" x14ac:dyDescent="0.15">
      <c r="A528" t="s">
        <v>1243</v>
      </c>
      <c r="C528" t="s">
        <v>1245</v>
      </c>
      <c r="D528">
        <v>2016</v>
      </c>
      <c r="E528" t="s">
        <v>1258</v>
      </c>
      <c r="F528">
        <v>26412464</v>
      </c>
    </row>
    <row r="529" spans="1:6" x14ac:dyDescent="0.15">
      <c r="A529" t="s">
        <v>1733</v>
      </c>
      <c r="C529" t="s">
        <v>1735</v>
      </c>
      <c r="D529">
        <v>2021</v>
      </c>
      <c r="E529" t="s">
        <v>1745</v>
      </c>
      <c r="F529">
        <v>34681030</v>
      </c>
    </row>
    <row r="530" spans="1:6" x14ac:dyDescent="0.15">
      <c r="A530" t="s">
        <v>2106</v>
      </c>
      <c r="C530" t="s">
        <v>2108</v>
      </c>
      <c r="D530">
        <v>2022</v>
      </c>
      <c r="E530" t="s">
        <v>2121</v>
      </c>
      <c r="F530" t="s">
        <v>74</v>
      </c>
    </row>
    <row r="531" spans="1:6" x14ac:dyDescent="0.15">
      <c r="A531" t="s">
        <v>2139</v>
      </c>
      <c r="C531" t="s">
        <v>2141</v>
      </c>
      <c r="D531">
        <v>2017</v>
      </c>
      <c r="E531" t="s">
        <v>2149</v>
      </c>
      <c r="F531">
        <v>29040005</v>
      </c>
    </row>
    <row r="532" spans="1:6" x14ac:dyDescent="0.15">
      <c r="A532" t="s">
        <v>2310</v>
      </c>
      <c r="C532" t="s">
        <v>2312</v>
      </c>
      <c r="D532">
        <v>2021</v>
      </c>
      <c r="E532" t="s">
        <v>2322</v>
      </c>
      <c r="F532">
        <v>34572021</v>
      </c>
    </row>
    <row r="533" spans="1:6" x14ac:dyDescent="0.15">
      <c r="A533" t="s">
        <v>4100</v>
      </c>
      <c r="C533" t="s">
        <v>4102</v>
      </c>
      <c r="D533">
        <v>2021</v>
      </c>
      <c r="E533" t="s">
        <v>4115</v>
      </c>
      <c r="F533">
        <v>33040492</v>
      </c>
    </row>
    <row r="534" spans="1:6" x14ac:dyDescent="0.15">
      <c r="A534" t="s">
        <v>4230</v>
      </c>
      <c r="C534" t="s">
        <v>4232</v>
      </c>
      <c r="D534">
        <v>2020</v>
      </c>
      <c r="E534" t="s">
        <v>4244</v>
      </c>
      <c r="F534">
        <v>33224932</v>
      </c>
    </row>
    <row r="535" spans="1:6" x14ac:dyDescent="0.15">
      <c r="A535" t="s">
        <v>4798</v>
      </c>
      <c r="C535" t="s">
        <v>4800</v>
      </c>
      <c r="D535">
        <v>2020</v>
      </c>
      <c r="E535" t="s">
        <v>4812</v>
      </c>
      <c r="F535">
        <v>32530449</v>
      </c>
    </row>
    <row r="536" spans="1:6" x14ac:dyDescent="0.15">
      <c r="A536" t="s">
        <v>4957</v>
      </c>
      <c r="C536" t="s">
        <v>4959</v>
      </c>
      <c r="D536">
        <v>2020</v>
      </c>
      <c r="E536" t="s">
        <v>4971</v>
      </c>
      <c r="F536">
        <v>32932765</v>
      </c>
    </row>
    <row r="537" spans="1:6" x14ac:dyDescent="0.15">
      <c r="A537" t="s">
        <v>4973</v>
      </c>
      <c r="C537" t="s">
        <v>4975</v>
      </c>
      <c r="D537">
        <v>2017</v>
      </c>
      <c r="E537" t="s">
        <v>4988</v>
      </c>
      <c r="F537">
        <v>28636071</v>
      </c>
    </row>
    <row r="538" spans="1:6" x14ac:dyDescent="0.15">
      <c r="A538" t="s">
        <v>5577</v>
      </c>
      <c r="C538" t="s">
        <v>5579</v>
      </c>
      <c r="D538">
        <v>2021</v>
      </c>
      <c r="E538" t="s">
        <v>5588</v>
      </c>
      <c r="F538">
        <v>33973465</v>
      </c>
    </row>
    <row r="539" spans="1:6" x14ac:dyDescent="0.15">
      <c r="A539" t="s">
        <v>6228</v>
      </c>
      <c r="C539" t="s">
        <v>6230</v>
      </c>
      <c r="D539">
        <v>2021</v>
      </c>
      <c r="E539" t="s">
        <v>6236</v>
      </c>
      <c r="F539">
        <v>33435996</v>
      </c>
    </row>
    <row r="540" spans="1:6" x14ac:dyDescent="0.15">
      <c r="A540" t="s">
        <v>6568</v>
      </c>
      <c r="C540" t="s">
        <v>6570</v>
      </c>
      <c r="D540">
        <v>2022</v>
      </c>
      <c r="E540" t="s">
        <v>6580</v>
      </c>
      <c r="F540">
        <v>34902643</v>
      </c>
    </row>
    <row r="541" spans="1:6" x14ac:dyDescent="0.15">
      <c r="A541" t="s">
        <v>7009</v>
      </c>
      <c r="C541" t="s">
        <v>7011</v>
      </c>
      <c r="D541">
        <v>2021</v>
      </c>
      <c r="E541" t="s">
        <v>7021</v>
      </c>
      <c r="F541">
        <v>33978996</v>
      </c>
    </row>
    <row r="542" spans="1:6" x14ac:dyDescent="0.15">
      <c r="A542" t="s">
        <v>7258</v>
      </c>
      <c r="C542" t="s">
        <v>7259</v>
      </c>
      <c r="D542">
        <v>1995</v>
      </c>
      <c r="E542" t="s">
        <v>7268</v>
      </c>
      <c r="F542">
        <v>7561149</v>
      </c>
    </row>
    <row r="543" spans="1:6" x14ac:dyDescent="0.15">
      <c r="A543" t="s">
        <v>8540</v>
      </c>
      <c r="C543" t="s">
        <v>8542</v>
      </c>
      <c r="D543">
        <v>2020</v>
      </c>
      <c r="E543" t="s">
        <v>8552</v>
      </c>
      <c r="F543">
        <v>32823598</v>
      </c>
    </row>
    <row r="544" spans="1:6" x14ac:dyDescent="0.15">
      <c r="A544" t="s">
        <v>9298</v>
      </c>
      <c r="C544" t="s">
        <v>9300</v>
      </c>
      <c r="D544">
        <v>2014</v>
      </c>
      <c r="E544" t="s">
        <v>9311</v>
      </c>
      <c r="F544">
        <v>24352757</v>
      </c>
    </row>
    <row r="545" spans="1:6" x14ac:dyDescent="0.15">
      <c r="A545" t="s">
        <v>9924</v>
      </c>
      <c r="C545" t="s">
        <v>9926</v>
      </c>
      <c r="D545">
        <v>2020</v>
      </c>
      <c r="E545" t="s">
        <v>9936</v>
      </c>
      <c r="F545">
        <v>32866177</v>
      </c>
    </row>
    <row r="546" spans="1:6" x14ac:dyDescent="0.15">
      <c r="A546" t="s">
        <v>10136</v>
      </c>
      <c r="C546" t="s">
        <v>10138</v>
      </c>
      <c r="D546">
        <v>2019</v>
      </c>
      <c r="E546" t="s">
        <v>10151</v>
      </c>
      <c r="F546">
        <v>29621120</v>
      </c>
    </row>
    <row r="547" spans="1:6" x14ac:dyDescent="0.15">
      <c r="A547" t="s">
        <v>10345</v>
      </c>
      <c r="C547" t="s">
        <v>10347</v>
      </c>
      <c r="D547">
        <v>2020</v>
      </c>
      <c r="E547" t="s">
        <v>10358</v>
      </c>
      <c r="F547">
        <v>32659906</v>
      </c>
    </row>
    <row r="548" spans="1:6" x14ac:dyDescent="0.15">
      <c r="A548" t="s">
        <v>10616</v>
      </c>
      <c r="C548" t="s">
        <v>10618</v>
      </c>
      <c r="D548">
        <v>2021</v>
      </c>
      <c r="E548" t="s">
        <v>10627</v>
      </c>
      <c r="F548">
        <v>33878123</v>
      </c>
    </row>
    <row r="549" spans="1:6" x14ac:dyDescent="0.15">
      <c r="A549" t="s">
        <v>643</v>
      </c>
      <c r="C549" t="s">
        <v>646</v>
      </c>
      <c r="D549">
        <v>2021</v>
      </c>
      <c r="E549" t="s">
        <v>660</v>
      </c>
      <c r="F549">
        <v>34454680</v>
      </c>
    </row>
    <row r="550" spans="1:6" x14ac:dyDescent="0.15">
      <c r="A550" t="s">
        <v>702</v>
      </c>
      <c r="C550" t="s">
        <v>704</v>
      </c>
      <c r="D550">
        <v>2021</v>
      </c>
      <c r="E550" t="s">
        <v>714</v>
      </c>
      <c r="F550">
        <v>34595842</v>
      </c>
    </row>
    <row r="551" spans="1:6" x14ac:dyDescent="0.15">
      <c r="A551" t="s">
        <v>972</v>
      </c>
      <c r="C551" t="s">
        <v>974</v>
      </c>
      <c r="D551">
        <v>2020</v>
      </c>
      <c r="E551" t="s">
        <v>986</v>
      </c>
      <c r="F551">
        <v>33263017</v>
      </c>
    </row>
    <row r="552" spans="1:6" x14ac:dyDescent="0.15">
      <c r="A552" t="s">
        <v>1097</v>
      </c>
      <c r="C552" t="s">
        <v>1099</v>
      </c>
      <c r="D552">
        <v>2021</v>
      </c>
      <c r="E552" t="s">
        <v>1112</v>
      </c>
      <c r="F552">
        <v>33922925</v>
      </c>
    </row>
    <row r="553" spans="1:6" x14ac:dyDescent="0.15">
      <c r="A553" t="s">
        <v>2561</v>
      </c>
      <c r="C553" t="s">
        <v>2563</v>
      </c>
      <c r="D553">
        <v>2021</v>
      </c>
      <c r="E553" t="s">
        <v>2572</v>
      </c>
      <c r="F553">
        <v>33769802</v>
      </c>
    </row>
    <row r="554" spans="1:6" x14ac:dyDescent="0.15">
      <c r="A554" t="s">
        <v>2703</v>
      </c>
      <c r="C554" t="s">
        <v>2705</v>
      </c>
      <c r="D554">
        <v>2021</v>
      </c>
      <c r="E554" t="s">
        <v>2717</v>
      </c>
      <c r="F554">
        <v>33231813</v>
      </c>
    </row>
    <row r="555" spans="1:6" x14ac:dyDescent="0.15">
      <c r="A555" t="s">
        <v>2878</v>
      </c>
      <c r="C555" t="s">
        <v>2880</v>
      </c>
      <c r="D555">
        <v>2021</v>
      </c>
      <c r="E555" t="s">
        <v>2893</v>
      </c>
      <c r="F555">
        <v>33345401</v>
      </c>
    </row>
    <row r="556" spans="1:6" x14ac:dyDescent="0.15">
      <c r="A556" t="s">
        <v>2896</v>
      </c>
      <c r="C556" t="s">
        <v>2898</v>
      </c>
      <c r="D556">
        <v>2016</v>
      </c>
      <c r="E556" t="s">
        <v>74</v>
      </c>
      <c r="F556" t="s">
        <v>74</v>
      </c>
    </row>
    <row r="557" spans="1:6" x14ac:dyDescent="0.15">
      <c r="A557" t="s">
        <v>3046</v>
      </c>
      <c r="C557" t="s">
        <v>3048</v>
      </c>
      <c r="D557">
        <v>2021</v>
      </c>
      <c r="E557" t="s">
        <v>3061</v>
      </c>
      <c r="F557">
        <v>32968935</v>
      </c>
    </row>
    <row r="558" spans="1:6" x14ac:dyDescent="0.15">
      <c r="A558" t="s">
        <v>3486</v>
      </c>
      <c r="C558" t="s">
        <v>3488</v>
      </c>
      <c r="D558">
        <v>2020</v>
      </c>
      <c r="E558" t="s">
        <v>3497</v>
      </c>
      <c r="F558">
        <v>33042841</v>
      </c>
    </row>
    <row r="559" spans="1:6" x14ac:dyDescent="0.15">
      <c r="A559" t="s">
        <v>3713</v>
      </c>
      <c r="C559" t="s">
        <v>3715</v>
      </c>
      <c r="D559">
        <v>2021</v>
      </c>
      <c r="E559" t="s">
        <v>3729</v>
      </c>
      <c r="F559">
        <v>33991505</v>
      </c>
    </row>
    <row r="560" spans="1:6" x14ac:dyDescent="0.15">
      <c r="A560" t="s">
        <v>3828</v>
      </c>
      <c r="C560" t="s">
        <v>3830</v>
      </c>
      <c r="D560">
        <v>2021</v>
      </c>
      <c r="E560" t="s">
        <v>3843</v>
      </c>
      <c r="F560">
        <v>33278692</v>
      </c>
    </row>
    <row r="561" spans="1:6" x14ac:dyDescent="0.15">
      <c r="A561" t="s">
        <v>3953</v>
      </c>
      <c r="C561" t="s">
        <v>3955</v>
      </c>
      <c r="D561">
        <v>2021</v>
      </c>
      <c r="E561" t="s">
        <v>3963</v>
      </c>
      <c r="F561">
        <v>33597619</v>
      </c>
    </row>
    <row r="562" spans="1:6" x14ac:dyDescent="0.15">
      <c r="A562" t="s">
        <v>4051</v>
      </c>
      <c r="C562" t="s">
        <v>4053</v>
      </c>
      <c r="D562">
        <v>2021</v>
      </c>
      <c r="E562" t="s">
        <v>4063</v>
      </c>
      <c r="F562">
        <v>33789676</v>
      </c>
    </row>
    <row r="563" spans="1:6" x14ac:dyDescent="0.15">
      <c r="A563" t="s">
        <v>4118</v>
      </c>
      <c r="C563" t="s">
        <v>4120</v>
      </c>
      <c r="D563">
        <v>2021</v>
      </c>
      <c r="E563" t="s">
        <v>4128</v>
      </c>
      <c r="F563">
        <v>34247486</v>
      </c>
    </row>
    <row r="564" spans="1:6" x14ac:dyDescent="0.15">
      <c r="A564" t="s">
        <v>4247</v>
      </c>
      <c r="C564" t="s">
        <v>4249</v>
      </c>
      <c r="D564">
        <v>2021</v>
      </c>
      <c r="E564" t="s">
        <v>4257</v>
      </c>
      <c r="F564">
        <v>33217521</v>
      </c>
    </row>
    <row r="565" spans="1:6" x14ac:dyDescent="0.15">
      <c r="A565" t="s">
        <v>5745</v>
      </c>
      <c r="C565" t="s">
        <v>5747</v>
      </c>
      <c r="D565">
        <v>2022</v>
      </c>
      <c r="E565" t="s">
        <v>5757</v>
      </c>
      <c r="F565">
        <v>34837760</v>
      </c>
    </row>
    <row r="566" spans="1:6" x14ac:dyDescent="0.15">
      <c r="A566" t="s">
        <v>6252</v>
      </c>
      <c r="C566" t="s">
        <v>6254</v>
      </c>
      <c r="D566">
        <v>2020</v>
      </c>
      <c r="E566" t="s">
        <v>6263</v>
      </c>
      <c r="F566">
        <v>32554054</v>
      </c>
    </row>
    <row r="567" spans="1:6" x14ac:dyDescent="0.15">
      <c r="A567" t="s">
        <v>6748</v>
      </c>
      <c r="C567" t="s">
        <v>6750</v>
      </c>
      <c r="D567">
        <v>2021</v>
      </c>
      <c r="E567" t="s">
        <v>6763</v>
      </c>
      <c r="F567">
        <v>33942501</v>
      </c>
    </row>
    <row r="568" spans="1:6" x14ac:dyDescent="0.15">
      <c r="A568" t="s">
        <v>6765</v>
      </c>
      <c r="C568" t="s">
        <v>6767</v>
      </c>
      <c r="D568">
        <v>2014</v>
      </c>
      <c r="E568" t="s">
        <v>6777</v>
      </c>
      <c r="F568" t="s">
        <v>74</v>
      </c>
    </row>
    <row r="569" spans="1:6" x14ac:dyDescent="0.15">
      <c r="A569" t="s">
        <v>6810</v>
      </c>
      <c r="C569" t="s">
        <v>6812</v>
      </c>
      <c r="D569">
        <v>2019</v>
      </c>
      <c r="E569" t="s">
        <v>6823</v>
      </c>
      <c r="F569">
        <v>31292829</v>
      </c>
    </row>
    <row r="570" spans="1:6" x14ac:dyDescent="0.15">
      <c r="A570" t="s">
        <v>7454</v>
      </c>
      <c r="C570" t="s">
        <v>7456</v>
      </c>
      <c r="D570">
        <v>2017</v>
      </c>
      <c r="E570" t="s">
        <v>7464</v>
      </c>
      <c r="F570">
        <v>29192155</v>
      </c>
    </row>
    <row r="571" spans="1:6" x14ac:dyDescent="0.15">
      <c r="A571" t="s">
        <v>8124</v>
      </c>
      <c r="C571" t="s">
        <v>8126</v>
      </c>
      <c r="D571">
        <v>2017</v>
      </c>
      <c r="E571" t="s">
        <v>8139</v>
      </c>
      <c r="F571">
        <v>28024455</v>
      </c>
    </row>
    <row r="572" spans="1:6" x14ac:dyDescent="0.15">
      <c r="A572" t="s">
        <v>8223</v>
      </c>
      <c r="C572" t="s">
        <v>8225</v>
      </c>
      <c r="D572">
        <v>2020</v>
      </c>
      <c r="E572" t="s">
        <v>8239</v>
      </c>
      <c r="F572">
        <v>32108034</v>
      </c>
    </row>
    <row r="573" spans="1:6" x14ac:dyDescent="0.15">
      <c r="A573" t="s">
        <v>8484</v>
      </c>
      <c r="C573" t="s">
        <v>8486</v>
      </c>
      <c r="D573">
        <v>2018</v>
      </c>
      <c r="E573" t="s">
        <v>8503</v>
      </c>
      <c r="F573">
        <v>29787437</v>
      </c>
    </row>
    <row r="574" spans="1:6" x14ac:dyDescent="0.15">
      <c r="A574" t="s">
        <v>8681</v>
      </c>
      <c r="C574" t="s">
        <v>8683</v>
      </c>
      <c r="D574">
        <v>2012</v>
      </c>
      <c r="E574" t="s">
        <v>8695</v>
      </c>
      <c r="F574">
        <v>22192456</v>
      </c>
    </row>
    <row r="575" spans="1:6" x14ac:dyDescent="0.15">
      <c r="A575" t="s">
        <v>8699</v>
      </c>
      <c r="C575" t="s">
        <v>8701</v>
      </c>
      <c r="D575">
        <v>2021</v>
      </c>
      <c r="E575" t="s">
        <v>8709</v>
      </c>
      <c r="F575">
        <v>33799709</v>
      </c>
    </row>
    <row r="576" spans="1:6" x14ac:dyDescent="0.15">
      <c r="A576" t="s">
        <v>9426</v>
      </c>
      <c r="C576" t="s">
        <v>9428</v>
      </c>
      <c r="D576">
        <v>2021</v>
      </c>
      <c r="E576" t="s">
        <v>9441</v>
      </c>
      <c r="F576">
        <v>33975677</v>
      </c>
    </row>
    <row r="577" spans="1:6" x14ac:dyDescent="0.15">
      <c r="A577" t="s">
        <v>9493</v>
      </c>
      <c r="C577" t="s">
        <v>9495</v>
      </c>
      <c r="D577">
        <v>2022</v>
      </c>
      <c r="E577" t="s">
        <v>9504</v>
      </c>
      <c r="F577">
        <v>34656688</v>
      </c>
    </row>
    <row r="578" spans="1:6" x14ac:dyDescent="0.15">
      <c r="A578" t="s">
        <v>10793</v>
      </c>
      <c r="C578" t="s">
        <v>10795</v>
      </c>
      <c r="D578">
        <v>2020</v>
      </c>
      <c r="E578" t="s">
        <v>10804</v>
      </c>
      <c r="F578">
        <v>32857097</v>
      </c>
    </row>
    <row r="579" spans="1:6" x14ac:dyDescent="0.15">
      <c r="A579" t="s">
        <v>11091</v>
      </c>
      <c r="C579" t="s">
        <v>11094</v>
      </c>
      <c r="D579">
        <v>2011</v>
      </c>
      <c r="E579" t="s">
        <v>74</v>
      </c>
      <c r="F579" t="s">
        <v>74</v>
      </c>
    </row>
    <row r="580" spans="1:6" x14ac:dyDescent="0.15">
      <c r="A580" t="s">
        <v>509</v>
      </c>
      <c r="C580" t="s">
        <v>511</v>
      </c>
      <c r="D580">
        <v>2020</v>
      </c>
      <c r="E580" t="s">
        <v>524</v>
      </c>
      <c r="F580">
        <v>32441840</v>
      </c>
    </row>
    <row r="581" spans="1:6" x14ac:dyDescent="0.15">
      <c r="A581" t="s">
        <v>548</v>
      </c>
      <c r="C581" t="s">
        <v>551</v>
      </c>
      <c r="D581">
        <v>2021</v>
      </c>
      <c r="E581" t="s">
        <v>562</v>
      </c>
      <c r="F581">
        <v>34160815</v>
      </c>
    </row>
    <row r="582" spans="1:6" x14ac:dyDescent="0.15">
      <c r="A582" t="s">
        <v>615</v>
      </c>
      <c r="C582" t="s">
        <v>617</v>
      </c>
      <c r="D582">
        <v>2021</v>
      </c>
      <c r="E582" t="s">
        <v>627</v>
      </c>
      <c r="F582">
        <v>34178690</v>
      </c>
    </row>
    <row r="583" spans="1:6" x14ac:dyDescent="0.15">
      <c r="A583" t="s">
        <v>746</v>
      </c>
      <c r="C583" t="s">
        <v>749</v>
      </c>
      <c r="D583">
        <v>2016</v>
      </c>
      <c r="E583" t="s">
        <v>767</v>
      </c>
      <c r="F583">
        <v>27753024</v>
      </c>
    </row>
    <row r="584" spans="1:6" x14ac:dyDescent="0.15">
      <c r="A584" t="s">
        <v>1058</v>
      </c>
      <c r="C584" t="s">
        <v>1060</v>
      </c>
      <c r="D584">
        <v>2021</v>
      </c>
      <c r="E584" t="s">
        <v>1078</v>
      </c>
      <c r="F584">
        <v>33016114</v>
      </c>
    </row>
    <row r="585" spans="1:6" x14ac:dyDescent="0.15">
      <c r="A585" t="s">
        <v>1427</v>
      </c>
      <c r="C585" t="s">
        <v>1429</v>
      </c>
      <c r="D585">
        <v>2020</v>
      </c>
      <c r="E585" t="s">
        <v>1441</v>
      </c>
      <c r="F585">
        <v>33519169</v>
      </c>
    </row>
    <row r="586" spans="1:6" x14ac:dyDescent="0.15">
      <c r="A586" t="s">
        <v>1557</v>
      </c>
      <c r="C586" t="s">
        <v>1559</v>
      </c>
      <c r="D586">
        <v>2021</v>
      </c>
      <c r="E586" t="s">
        <v>1571</v>
      </c>
      <c r="F586">
        <v>34514028</v>
      </c>
    </row>
    <row r="587" spans="1:6" x14ac:dyDescent="0.15">
      <c r="A587" t="s">
        <v>2073</v>
      </c>
      <c r="C587" t="s">
        <v>2075</v>
      </c>
      <c r="D587">
        <v>2018</v>
      </c>
      <c r="E587" t="s">
        <v>2088</v>
      </c>
      <c r="F587">
        <v>30519544</v>
      </c>
    </row>
    <row r="588" spans="1:6" x14ac:dyDescent="0.15">
      <c r="A588" t="s">
        <v>2091</v>
      </c>
      <c r="C588" t="s">
        <v>2093</v>
      </c>
      <c r="D588">
        <v>2022</v>
      </c>
      <c r="E588" t="s">
        <v>2104</v>
      </c>
      <c r="F588">
        <v>35159179</v>
      </c>
    </row>
    <row r="589" spans="1:6" x14ac:dyDescent="0.15">
      <c r="A589" t="s">
        <v>2324</v>
      </c>
      <c r="C589" t="s">
        <v>2326</v>
      </c>
      <c r="D589">
        <v>2022</v>
      </c>
      <c r="E589" t="s">
        <v>2335</v>
      </c>
      <c r="F589">
        <v>35215922</v>
      </c>
    </row>
    <row r="590" spans="1:6" x14ac:dyDescent="0.15">
      <c r="A590" t="s">
        <v>2525</v>
      </c>
      <c r="C590" t="s">
        <v>2527</v>
      </c>
      <c r="D590">
        <v>2022</v>
      </c>
      <c r="E590" t="s">
        <v>2540</v>
      </c>
      <c r="F590">
        <v>34984953</v>
      </c>
    </row>
    <row r="591" spans="1:6" x14ac:dyDescent="0.15">
      <c r="A591" t="s">
        <v>2621</v>
      </c>
      <c r="C591" t="s">
        <v>2623</v>
      </c>
      <c r="D591">
        <v>2021</v>
      </c>
      <c r="E591" t="s">
        <v>2635</v>
      </c>
      <c r="F591">
        <v>33160816</v>
      </c>
    </row>
    <row r="592" spans="1:6" x14ac:dyDescent="0.15">
      <c r="A592" t="s">
        <v>3065</v>
      </c>
      <c r="C592" t="s">
        <v>3067</v>
      </c>
      <c r="D592">
        <v>2021</v>
      </c>
      <c r="E592" t="s">
        <v>3077</v>
      </c>
      <c r="F592">
        <v>33850235</v>
      </c>
    </row>
    <row r="593" spans="1:6" x14ac:dyDescent="0.15">
      <c r="A593" t="s">
        <v>3248</v>
      </c>
      <c r="C593" t="s">
        <v>3250</v>
      </c>
      <c r="D593" t="s">
        <v>74</v>
      </c>
      <c r="E593" t="s">
        <v>3262</v>
      </c>
      <c r="F593">
        <v>34696694</v>
      </c>
    </row>
    <row r="594" spans="1:6" x14ac:dyDescent="0.15">
      <c r="A594" t="s">
        <v>3386</v>
      </c>
      <c r="C594" t="s">
        <v>3388</v>
      </c>
      <c r="D594">
        <v>2019</v>
      </c>
      <c r="E594" t="s">
        <v>3399</v>
      </c>
      <c r="F594">
        <v>30881463</v>
      </c>
    </row>
    <row r="595" spans="1:6" x14ac:dyDescent="0.15">
      <c r="A595" t="s">
        <v>3550</v>
      </c>
      <c r="C595" t="s">
        <v>3552</v>
      </c>
      <c r="D595">
        <v>2020</v>
      </c>
      <c r="E595" t="s">
        <v>3564</v>
      </c>
      <c r="F595">
        <v>32705286</v>
      </c>
    </row>
    <row r="596" spans="1:6" x14ac:dyDescent="0.15">
      <c r="A596" t="s">
        <v>3645</v>
      </c>
      <c r="C596" t="s">
        <v>3647</v>
      </c>
      <c r="D596">
        <v>2019</v>
      </c>
      <c r="E596" t="s">
        <v>3661</v>
      </c>
      <c r="F596">
        <v>30758240</v>
      </c>
    </row>
    <row r="597" spans="1:6" x14ac:dyDescent="0.15">
      <c r="A597" t="s">
        <v>3700</v>
      </c>
      <c r="C597" t="s">
        <v>3702</v>
      </c>
      <c r="D597">
        <v>2020</v>
      </c>
      <c r="E597" t="s">
        <v>3711</v>
      </c>
      <c r="F597">
        <v>33176237</v>
      </c>
    </row>
    <row r="598" spans="1:6" x14ac:dyDescent="0.15">
      <c r="A598" t="s">
        <v>4037</v>
      </c>
      <c r="C598" t="s">
        <v>4039</v>
      </c>
      <c r="D598">
        <v>2022</v>
      </c>
      <c r="E598" t="s">
        <v>4049</v>
      </c>
      <c r="F598">
        <v>35453532</v>
      </c>
    </row>
    <row r="599" spans="1:6" x14ac:dyDescent="0.15">
      <c r="A599" t="s">
        <v>4505</v>
      </c>
      <c r="C599" t="s">
        <v>4507</v>
      </c>
      <c r="D599">
        <v>2021</v>
      </c>
      <c r="E599" t="s">
        <v>4517</v>
      </c>
      <c r="F599">
        <v>34771533</v>
      </c>
    </row>
    <row r="600" spans="1:6" x14ac:dyDescent="0.15">
      <c r="A600" t="s">
        <v>5002</v>
      </c>
      <c r="C600" t="s">
        <v>5004</v>
      </c>
      <c r="D600">
        <v>2022</v>
      </c>
      <c r="E600" t="s">
        <v>5013</v>
      </c>
      <c r="F600">
        <v>35042294</v>
      </c>
    </row>
    <row r="601" spans="1:6" x14ac:dyDescent="0.15">
      <c r="A601" t="s">
        <v>5154</v>
      </c>
      <c r="C601" t="s">
        <v>5156</v>
      </c>
      <c r="D601">
        <v>2021</v>
      </c>
      <c r="E601" t="s">
        <v>5165</v>
      </c>
      <c r="F601">
        <v>34692681</v>
      </c>
    </row>
    <row r="602" spans="1:6" x14ac:dyDescent="0.15">
      <c r="A602" t="s">
        <v>5368</v>
      </c>
      <c r="C602" t="s">
        <v>5371</v>
      </c>
      <c r="D602">
        <v>2017</v>
      </c>
      <c r="E602" t="s">
        <v>5380</v>
      </c>
      <c r="F602">
        <v>27924585</v>
      </c>
    </row>
    <row r="603" spans="1:6" x14ac:dyDescent="0.15">
      <c r="A603" t="s">
        <v>5907</v>
      </c>
      <c r="C603" t="s">
        <v>5909</v>
      </c>
      <c r="D603">
        <v>2021</v>
      </c>
      <c r="E603" t="s">
        <v>5916</v>
      </c>
      <c r="F603">
        <v>33637947</v>
      </c>
    </row>
    <row r="604" spans="1:6" x14ac:dyDescent="0.15">
      <c r="A604" t="s">
        <v>6292</v>
      </c>
      <c r="C604" t="s">
        <v>6294</v>
      </c>
      <c r="D604">
        <v>2014</v>
      </c>
      <c r="E604" t="s">
        <v>6307</v>
      </c>
      <c r="F604" t="s">
        <v>74</v>
      </c>
    </row>
    <row r="605" spans="1:6" x14ac:dyDescent="0.15">
      <c r="A605" t="s">
        <v>6550</v>
      </c>
      <c r="C605" t="s">
        <v>6552</v>
      </c>
      <c r="D605">
        <v>2021</v>
      </c>
      <c r="E605" t="s">
        <v>6565</v>
      </c>
      <c r="F605">
        <v>34970155</v>
      </c>
    </row>
    <row r="606" spans="1:6" x14ac:dyDescent="0.15">
      <c r="A606" t="s">
        <v>6867</v>
      </c>
      <c r="C606" t="s">
        <v>6869</v>
      </c>
      <c r="D606">
        <v>2022</v>
      </c>
      <c r="E606" t="s">
        <v>6875</v>
      </c>
      <c r="F606">
        <v>35057921</v>
      </c>
    </row>
    <row r="607" spans="1:6" x14ac:dyDescent="0.15">
      <c r="A607" t="s">
        <v>7395</v>
      </c>
      <c r="C607" t="s">
        <v>7397</v>
      </c>
      <c r="D607">
        <v>2022</v>
      </c>
      <c r="E607" t="s">
        <v>7406</v>
      </c>
      <c r="F607">
        <v>35565192</v>
      </c>
    </row>
    <row r="608" spans="1:6" x14ac:dyDescent="0.15">
      <c r="A608" t="s">
        <v>8069</v>
      </c>
      <c r="C608" t="s">
        <v>8071</v>
      </c>
      <c r="D608">
        <v>2021</v>
      </c>
      <c r="E608" t="s">
        <v>8082</v>
      </c>
      <c r="F608">
        <v>32651457</v>
      </c>
    </row>
    <row r="609" spans="1:6" x14ac:dyDescent="0.15">
      <c r="A609" t="s">
        <v>8098</v>
      </c>
      <c r="C609" t="s">
        <v>8100</v>
      </c>
      <c r="D609">
        <v>2021</v>
      </c>
      <c r="E609" t="s">
        <v>8109</v>
      </c>
      <c r="F609">
        <v>34771645</v>
      </c>
    </row>
    <row r="610" spans="1:6" x14ac:dyDescent="0.15">
      <c r="A610" t="s">
        <v>8199</v>
      </c>
      <c r="C610" t="s">
        <v>8201</v>
      </c>
      <c r="D610">
        <v>2021</v>
      </c>
      <c r="E610" t="s">
        <v>8210</v>
      </c>
      <c r="F610">
        <v>34811396</v>
      </c>
    </row>
    <row r="611" spans="1:6" x14ac:dyDescent="0.15">
      <c r="A611" t="s">
        <v>8609</v>
      </c>
      <c r="C611" t="s">
        <v>8611</v>
      </c>
      <c r="D611">
        <v>2022</v>
      </c>
      <c r="E611" t="s">
        <v>8623</v>
      </c>
      <c r="F611">
        <v>34962643</v>
      </c>
    </row>
    <row r="612" spans="1:6" x14ac:dyDescent="0.15">
      <c r="A612" t="s">
        <v>8711</v>
      </c>
      <c r="C612" t="s">
        <v>8713</v>
      </c>
      <c r="D612">
        <v>2022</v>
      </c>
      <c r="E612" t="s">
        <v>8725</v>
      </c>
      <c r="F612" t="s">
        <v>74</v>
      </c>
    </row>
    <row r="613" spans="1:6" x14ac:dyDescent="0.15">
      <c r="A613" t="s">
        <v>7426</v>
      </c>
      <c r="C613" t="s">
        <v>8818</v>
      </c>
      <c r="D613">
        <v>2022</v>
      </c>
      <c r="E613" t="s">
        <v>8826</v>
      </c>
      <c r="F613">
        <v>34426211</v>
      </c>
    </row>
    <row r="614" spans="1:6" x14ac:dyDescent="0.15">
      <c r="A614" t="s">
        <v>8886</v>
      </c>
      <c r="C614" t="s">
        <v>8888</v>
      </c>
      <c r="D614">
        <v>2022</v>
      </c>
      <c r="E614" t="s">
        <v>8897</v>
      </c>
      <c r="F614">
        <v>35267452</v>
      </c>
    </row>
    <row r="615" spans="1:6" x14ac:dyDescent="0.15">
      <c r="A615" t="s">
        <v>9467</v>
      </c>
      <c r="C615" t="s">
        <v>9469</v>
      </c>
      <c r="D615">
        <v>2021</v>
      </c>
      <c r="E615" t="s">
        <v>9479</v>
      </c>
      <c r="F615">
        <v>34720597</v>
      </c>
    </row>
    <row r="616" spans="1:6" x14ac:dyDescent="0.15">
      <c r="A616" t="s">
        <v>9693</v>
      </c>
      <c r="C616" t="s">
        <v>9695</v>
      </c>
      <c r="D616">
        <v>2021</v>
      </c>
      <c r="E616" t="s">
        <v>9708</v>
      </c>
      <c r="F616">
        <v>34386404</v>
      </c>
    </row>
    <row r="617" spans="1:6" x14ac:dyDescent="0.15">
      <c r="A617" t="s">
        <v>9711</v>
      </c>
      <c r="C617" t="s">
        <v>9713</v>
      </c>
      <c r="D617">
        <v>2021</v>
      </c>
      <c r="E617" t="s">
        <v>9725</v>
      </c>
      <c r="F617">
        <v>34248507</v>
      </c>
    </row>
    <row r="618" spans="1:6" x14ac:dyDescent="0.15">
      <c r="A618" t="s">
        <v>10592</v>
      </c>
      <c r="C618" t="s">
        <v>10594</v>
      </c>
      <c r="D618">
        <v>2022</v>
      </c>
      <c r="E618" t="s">
        <v>10601</v>
      </c>
      <c r="F618">
        <v>35235898</v>
      </c>
    </row>
    <row r="619" spans="1:6" x14ac:dyDescent="0.15">
      <c r="A619" t="s">
        <v>11023</v>
      </c>
      <c r="C619" t="s">
        <v>11025</v>
      </c>
      <c r="D619">
        <v>2021</v>
      </c>
      <c r="E619" t="s">
        <v>11035</v>
      </c>
      <c r="F619">
        <v>34825908</v>
      </c>
    </row>
    <row r="620" spans="1:6" x14ac:dyDescent="0.15">
      <c r="A620" t="s">
        <v>787</v>
      </c>
      <c r="C620" t="s">
        <v>789</v>
      </c>
      <c r="D620">
        <v>2022</v>
      </c>
      <c r="E620" t="s">
        <v>801</v>
      </c>
      <c r="F620">
        <v>35453902</v>
      </c>
    </row>
    <row r="621" spans="1:6" x14ac:dyDescent="0.15">
      <c r="A621" t="s">
        <v>906</v>
      </c>
      <c r="C621" t="s">
        <v>908</v>
      </c>
      <c r="D621">
        <v>2020</v>
      </c>
      <c r="E621" t="s">
        <v>921</v>
      </c>
      <c r="F621">
        <v>32856938</v>
      </c>
    </row>
    <row r="622" spans="1:6" x14ac:dyDescent="0.15">
      <c r="A622" t="s">
        <v>1229</v>
      </c>
      <c r="C622" t="s">
        <v>1231</v>
      </c>
      <c r="D622">
        <v>2021</v>
      </c>
      <c r="E622" t="s">
        <v>1241</v>
      </c>
      <c r="F622">
        <v>34868914</v>
      </c>
    </row>
    <row r="623" spans="1:6" x14ac:dyDescent="0.15">
      <c r="A623" t="s">
        <v>1260</v>
      </c>
      <c r="C623" t="s">
        <v>1262</v>
      </c>
      <c r="D623">
        <v>2021</v>
      </c>
      <c r="E623" t="s">
        <v>1273</v>
      </c>
      <c r="F623">
        <v>33562158</v>
      </c>
    </row>
    <row r="624" spans="1:6" x14ac:dyDescent="0.15">
      <c r="A624" t="s">
        <v>1544</v>
      </c>
      <c r="C624" t="s">
        <v>1546</v>
      </c>
      <c r="D624">
        <v>2021</v>
      </c>
      <c r="E624" t="s">
        <v>1555</v>
      </c>
      <c r="F624">
        <v>34440345</v>
      </c>
    </row>
    <row r="625" spans="1:6" x14ac:dyDescent="0.15">
      <c r="A625" t="s">
        <v>1606</v>
      </c>
      <c r="C625" t="s">
        <v>1608</v>
      </c>
      <c r="D625">
        <v>2020</v>
      </c>
      <c r="E625" t="s">
        <v>1619</v>
      </c>
      <c r="F625">
        <v>32065171</v>
      </c>
    </row>
    <row r="626" spans="1:6" x14ac:dyDescent="0.15">
      <c r="A626" t="s">
        <v>1684</v>
      </c>
      <c r="C626" t="s">
        <v>1686</v>
      </c>
      <c r="D626">
        <v>2021</v>
      </c>
      <c r="E626" t="s">
        <v>1698</v>
      </c>
      <c r="F626">
        <v>33925397</v>
      </c>
    </row>
    <row r="627" spans="1:6" x14ac:dyDescent="0.15">
      <c r="A627" t="s">
        <v>1747</v>
      </c>
      <c r="C627" t="s">
        <v>1749</v>
      </c>
      <c r="D627">
        <v>2021</v>
      </c>
      <c r="E627" t="s">
        <v>1762</v>
      </c>
      <c r="F627">
        <v>34820420</v>
      </c>
    </row>
    <row r="628" spans="1:6" x14ac:dyDescent="0.15">
      <c r="A628" t="s">
        <v>1854</v>
      </c>
      <c r="C628" t="s">
        <v>1856</v>
      </c>
      <c r="D628">
        <v>2021</v>
      </c>
      <c r="E628" t="s">
        <v>1866</v>
      </c>
      <c r="F628">
        <v>34900671</v>
      </c>
    </row>
    <row r="629" spans="1:6" x14ac:dyDescent="0.15">
      <c r="A629" t="s">
        <v>2337</v>
      </c>
      <c r="C629" t="s">
        <v>2340</v>
      </c>
      <c r="D629">
        <v>2020</v>
      </c>
      <c r="E629" t="s">
        <v>2351</v>
      </c>
      <c r="F629">
        <v>32056180</v>
      </c>
    </row>
    <row r="630" spans="1:6" x14ac:dyDescent="0.15">
      <c r="A630" t="s">
        <v>2373</v>
      </c>
      <c r="C630" t="s">
        <v>2375</v>
      </c>
      <c r="D630">
        <v>2021</v>
      </c>
      <c r="E630" t="s">
        <v>2385</v>
      </c>
      <c r="F630">
        <v>34422924</v>
      </c>
    </row>
    <row r="631" spans="1:6" x14ac:dyDescent="0.15">
      <c r="A631" t="s">
        <v>2685</v>
      </c>
      <c r="C631" t="s">
        <v>2687</v>
      </c>
      <c r="D631">
        <v>2021</v>
      </c>
      <c r="E631" t="s">
        <v>2700</v>
      </c>
      <c r="F631">
        <v>34454177</v>
      </c>
    </row>
    <row r="632" spans="1:6" x14ac:dyDescent="0.15">
      <c r="A632" t="s">
        <v>2922</v>
      </c>
      <c r="C632" t="s">
        <v>2924</v>
      </c>
      <c r="D632">
        <v>2017</v>
      </c>
      <c r="E632" t="s">
        <v>2937</v>
      </c>
      <c r="F632" t="s">
        <v>74</v>
      </c>
    </row>
    <row r="633" spans="1:6" x14ac:dyDescent="0.15">
      <c r="A633" t="s">
        <v>3007</v>
      </c>
      <c r="C633" t="s">
        <v>3009</v>
      </c>
      <c r="D633">
        <v>2021</v>
      </c>
      <c r="E633" t="s">
        <v>3017</v>
      </c>
      <c r="F633">
        <v>33917426</v>
      </c>
    </row>
    <row r="634" spans="1:6" x14ac:dyDescent="0.15">
      <c r="A634" t="s">
        <v>3157</v>
      </c>
      <c r="C634" t="s">
        <v>3159</v>
      </c>
      <c r="D634">
        <v>2022</v>
      </c>
      <c r="E634" t="s">
        <v>3172</v>
      </c>
      <c r="F634">
        <v>35027662</v>
      </c>
    </row>
    <row r="635" spans="1:6" x14ac:dyDescent="0.15">
      <c r="A635" t="s">
        <v>3282</v>
      </c>
      <c r="C635" t="s">
        <v>3284</v>
      </c>
      <c r="D635">
        <v>2021</v>
      </c>
      <c r="E635" t="s">
        <v>3296</v>
      </c>
      <c r="F635">
        <v>34772443</v>
      </c>
    </row>
    <row r="636" spans="1:6" x14ac:dyDescent="0.15">
      <c r="A636" t="s">
        <v>3993</v>
      </c>
      <c r="C636" t="s">
        <v>3995</v>
      </c>
      <c r="D636">
        <v>2021</v>
      </c>
      <c r="E636" t="s">
        <v>4002</v>
      </c>
      <c r="F636">
        <v>34127763</v>
      </c>
    </row>
    <row r="637" spans="1:6" x14ac:dyDescent="0.15">
      <c r="A637" t="s">
        <v>4065</v>
      </c>
      <c r="C637" t="s">
        <v>4067</v>
      </c>
      <c r="D637">
        <v>2021</v>
      </c>
      <c r="E637" t="s">
        <v>4079</v>
      </c>
      <c r="F637">
        <v>34284459</v>
      </c>
    </row>
    <row r="638" spans="1:6" x14ac:dyDescent="0.15">
      <c r="A638" t="s">
        <v>4201</v>
      </c>
      <c r="C638" t="s">
        <v>4203</v>
      </c>
      <c r="D638">
        <v>2022</v>
      </c>
      <c r="E638" t="s">
        <v>4213</v>
      </c>
      <c r="F638">
        <v>35216284</v>
      </c>
    </row>
    <row r="639" spans="1:6" x14ac:dyDescent="0.15">
      <c r="A639" t="s">
        <v>4519</v>
      </c>
      <c r="C639" t="s">
        <v>4521</v>
      </c>
      <c r="D639">
        <v>2022</v>
      </c>
      <c r="E639" t="s">
        <v>4532</v>
      </c>
      <c r="F639">
        <v>34999547</v>
      </c>
    </row>
    <row r="640" spans="1:6" x14ac:dyDescent="0.15">
      <c r="A640" t="s">
        <v>4751</v>
      </c>
      <c r="C640" t="s">
        <v>4753</v>
      </c>
      <c r="D640">
        <v>2021</v>
      </c>
      <c r="E640" t="s">
        <v>4765</v>
      </c>
      <c r="F640" t="s">
        <v>74</v>
      </c>
    </row>
    <row r="641" spans="1:6" x14ac:dyDescent="0.15">
      <c r="A641" t="s">
        <v>4850</v>
      </c>
      <c r="C641" t="s">
        <v>4852</v>
      </c>
      <c r="D641">
        <v>2022</v>
      </c>
      <c r="E641" t="s">
        <v>4863</v>
      </c>
      <c r="F641">
        <v>35663013</v>
      </c>
    </row>
    <row r="642" spans="1:6" x14ac:dyDescent="0.15">
      <c r="A642" t="s">
        <v>5091</v>
      </c>
      <c r="C642" t="s">
        <v>5093</v>
      </c>
      <c r="D642">
        <v>2021</v>
      </c>
      <c r="E642" t="s">
        <v>5103</v>
      </c>
      <c r="F642">
        <v>34236496</v>
      </c>
    </row>
    <row r="643" spans="1:6" x14ac:dyDescent="0.15">
      <c r="A643" t="s">
        <v>5518</v>
      </c>
      <c r="C643" t="s">
        <v>5520</v>
      </c>
      <c r="D643">
        <v>2022</v>
      </c>
      <c r="E643" t="s">
        <v>5529</v>
      </c>
      <c r="F643" t="s">
        <v>74</v>
      </c>
    </row>
    <row r="644" spans="1:6" x14ac:dyDescent="0.15">
      <c r="A644" t="s">
        <v>5531</v>
      </c>
      <c r="C644" t="s">
        <v>5533</v>
      </c>
      <c r="D644">
        <v>2021</v>
      </c>
      <c r="E644" t="s">
        <v>5542</v>
      </c>
      <c r="F644">
        <v>34739016</v>
      </c>
    </row>
    <row r="645" spans="1:6" x14ac:dyDescent="0.15">
      <c r="A645" t="s">
        <v>5881</v>
      </c>
      <c r="C645" t="s">
        <v>5883</v>
      </c>
      <c r="D645">
        <v>2021</v>
      </c>
      <c r="E645" t="s">
        <v>5892</v>
      </c>
      <c r="F645">
        <v>34575975</v>
      </c>
    </row>
    <row r="646" spans="1:6" x14ac:dyDescent="0.15">
      <c r="A646" t="s">
        <v>6036</v>
      </c>
      <c r="C646" t="s">
        <v>6038</v>
      </c>
      <c r="D646">
        <v>2022</v>
      </c>
      <c r="E646" t="s">
        <v>6043</v>
      </c>
      <c r="F646" t="s">
        <v>74</v>
      </c>
    </row>
    <row r="647" spans="1:6" x14ac:dyDescent="0.15">
      <c r="A647" t="s">
        <v>6045</v>
      </c>
      <c r="C647" t="s">
        <v>6047</v>
      </c>
      <c r="D647">
        <v>2020</v>
      </c>
      <c r="E647" t="s">
        <v>6059</v>
      </c>
      <c r="F647" t="s">
        <v>74</v>
      </c>
    </row>
    <row r="648" spans="1:6" x14ac:dyDescent="0.15">
      <c r="A648" t="s">
        <v>6214</v>
      </c>
      <c r="C648" t="s">
        <v>6216</v>
      </c>
      <c r="D648">
        <v>2021</v>
      </c>
      <c r="E648" t="s">
        <v>6226</v>
      </c>
      <c r="F648">
        <v>34234173</v>
      </c>
    </row>
    <row r="649" spans="1:6" x14ac:dyDescent="0.15">
      <c r="A649" t="s">
        <v>6402</v>
      </c>
      <c r="C649" t="s">
        <v>6404</v>
      </c>
      <c r="D649">
        <v>2021</v>
      </c>
      <c r="E649" t="s">
        <v>6412</v>
      </c>
      <c r="F649" t="s">
        <v>74</v>
      </c>
    </row>
    <row r="650" spans="1:6" x14ac:dyDescent="0.15">
      <c r="A650" t="s">
        <v>6779</v>
      </c>
      <c r="C650" t="s">
        <v>6781</v>
      </c>
      <c r="D650">
        <v>2020</v>
      </c>
      <c r="E650" t="s">
        <v>6794</v>
      </c>
      <c r="F650" t="s">
        <v>74</v>
      </c>
    </row>
    <row r="651" spans="1:6" x14ac:dyDescent="0.15">
      <c r="A651" t="s">
        <v>6877</v>
      </c>
      <c r="C651" t="s">
        <v>6879</v>
      </c>
      <c r="D651">
        <v>2021</v>
      </c>
      <c r="E651" t="s">
        <v>6888</v>
      </c>
      <c r="F651">
        <v>34565331</v>
      </c>
    </row>
    <row r="652" spans="1:6" x14ac:dyDescent="0.15">
      <c r="A652" t="s">
        <v>7023</v>
      </c>
      <c r="C652" t="s">
        <v>7025</v>
      </c>
      <c r="D652">
        <v>2022</v>
      </c>
      <c r="E652" t="s">
        <v>7037</v>
      </c>
      <c r="F652">
        <v>35049651</v>
      </c>
    </row>
    <row r="653" spans="1:6" x14ac:dyDescent="0.15">
      <c r="A653" t="s">
        <v>7174</v>
      </c>
      <c r="C653" t="s">
        <v>7176</v>
      </c>
      <c r="D653">
        <v>2021</v>
      </c>
      <c r="E653" t="s">
        <v>7188</v>
      </c>
      <c r="F653" t="s">
        <v>74</v>
      </c>
    </row>
    <row r="654" spans="1:6" x14ac:dyDescent="0.15">
      <c r="A654" t="s">
        <v>7325</v>
      </c>
      <c r="C654" t="s">
        <v>7327</v>
      </c>
      <c r="D654">
        <v>2022</v>
      </c>
      <c r="E654" t="s">
        <v>7332</v>
      </c>
      <c r="F654">
        <v>35189412</v>
      </c>
    </row>
    <row r="655" spans="1:6" x14ac:dyDescent="0.15">
      <c r="A655" t="s">
        <v>7334</v>
      </c>
      <c r="C655" t="s">
        <v>7336</v>
      </c>
      <c r="D655">
        <v>2022</v>
      </c>
      <c r="E655" t="s">
        <v>7349</v>
      </c>
      <c r="F655">
        <v>35338758</v>
      </c>
    </row>
    <row r="656" spans="1:6" x14ac:dyDescent="0.15">
      <c r="A656" t="s">
        <v>7408</v>
      </c>
      <c r="C656" t="s">
        <v>7411</v>
      </c>
      <c r="D656">
        <v>2021</v>
      </c>
      <c r="E656" t="s">
        <v>7422</v>
      </c>
      <c r="F656">
        <v>33651347</v>
      </c>
    </row>
    <row r="657" spans="1:6" x14ac:dyDescent="0.15">
      <c r="A657" t="s">
        <v>7478</v>
      </c>
      <c r="C657" t="s">
        <v>7480</v>
      </c>
      <c r="D657">
        <v>2022</v>
      </c>
      <c r="E657" t="s">
        <v>7492</v>
      </c>
      <c r="F657">
        <v>34698812</v>
      </c>
    </row>
    <row r="658" spans="1:6" x14ac:dyDescent="0.15">
      <c r="A658" t="s">
        <v>8169</v>
      </c>
      <c r="C658" t="s">
        <v>8172</v>
      </c>
      <c r="D658">
        <v>2012</v>
      </c>
      <c r="E658" t="s">
        <v>8184</v>
      </c>
      <c r="F658" t="s">
        <v>74</v>
      </c>
    </row>
    <row r="659" spans="1:6" x14ac:dyDescent="0.15">
      <c r="A659" t="s">
        <v>8242</v>
      </c>
      <c r="C659" t="s">
        <v>8244</v>
      </c>
      <c r="D659">
        <v>2021</v>
      </c>
      <c r="E659" t="s">
        <v>8256</v>
      </c>
      <c r="F659">
        <v>34688997</v>
      </c>
    </row>
    <row r="660" spans="1:6" x14ac:dyDescent="0.15">
      <c r="A660" t="s">
        <v>8408</v>
      </c>
      <c r="C660" t="s">
        <v>8410</v>
      </c>
      <c r="D660">
        <v>2022</v>
      </c>
      <c r="E660" t="s">
        <v>8423</v>
      </c>
      <c r="F660">
        <v>35722385</v>
      </c>
    </row>
    <row r="661" spans="1:6" x14ac:dyDescent="0.15">
      <c r="A661" t="s">
        <v>8828</v>
      </c>
      <c r="C661" t="s">
        <v>8830</v>
      </c>
      <c r="D661">
        <v>2022</v>
      </c>
      <c r="E661" t="s">
        <v>8840</v>
      </c>
      <c r="F661">
        <v>35290882</v>
      </c>
    </row>
    <row r="662" spans="1:6" x14ac:dyDescent="0.15">
      <c r="A662" t="s">
        <v>8915</v>
      </c>
      <c r="C662" t="s">
        <v>8917</v>
      </c>
      <c r="D662">
        <v>2021</v>
      </c>
      <c r="E662" t="s">
        <v>8929</v>
      </c>
      <c r="F662">
        <v>34528938</v>
      </c>
    </row>
    <row r="663" spans="1:6" x14ac:dyDescent="0.15">
      <c r="A663" t="s">
        <v>8950</v>
      </c>
      <c r="C663" t="s">
        <v>8952</v>
      </c>
      <c r="D663">
        <v>2022</v>
      </c>
      <c r="E663" t="s">
        <v>8960</v>
      </c>
      <c r="F663">
        <v>35036051</v>
      </c>
    </row>
    <row r="664" spans="1:6" x14ac:dyDescent="0.15">
      <c r="A664" t="s">
        <v>9010</v>
      </c>
      <c r="C664" t="s">
        <v>9012</v>
      </c>
      <c r="D664">
        <v>2021</v>
      </c>
      <c r="E664" t="s">
        <v>9023</v>
      </c>
      <c r="F664">
        <v>34489723</v>
      </c>
    </row>
    <row r="665" spans="1:6" x14ac:dyDescent="0.15">
      <c r="A665" t="s">
        <v>9081</v>
      </c>
      <c r="C665" t="s">
        <v>9083</v>
      </c>
      <c r="D665">
        <v>2021</v>
      </c>
      <c r="E665" t="s">
        <v>9091</v>
      </c>
      <c r="F665">
        <v>33383715</v>
      </c>
    </row>
    <row r="666" spans="1:6" x14ac:dyDescent="0.15">
      <c r="A666" t="s">
        <v>9106</v>
      </c>
      <c r="C666" t="s">
        <v>9108</v>
      </c>
      <c r="D666">
        <v>2020</v>
      </c>
      <c r="E666" t="s">
        <v>9120</v>
      </c>
      <c r="F666">
        <v>32019550</v>
      </c>
    </row>
    <row r="667" spans="1:6" x14ac:dyDescent="0.15">
      <c r="A667" t="s">
        <v>9166</v>
      </c>
      <c r="C667" t="s">
        <v>9168</v>
      </c>
      <c r="D667">
        <v>2021</v>
      </c>
      <c r="E667" t="s">
        <v>9176</v>
      </c>
      <c r="F667">
        <v>34188709</v>
      </c>
    </row>
    <row r="668" spans="1:6" x14ac:dyDescent="0.15">
      <c r="A668" t="s">
        <v>73</v>
      </c>
      <c r="C668" t="s">
        <v>76</v>
      </c>
      <c r="D668">
        <v>2021</v>
      </c>
      <c r="E668" t="s">
        <v>89</v>
      </c>
      <c r="F668">
        <v>34065021</v>
      </c>
    </row>
    <row r="669" spans="1:6" x14ac:dyDescent="0.15">
      <c r="A669" t="s">
        <v>148</v>
      </c>
      <c r="C669" t="s">
        <v>150</v>
      </c>
      <c r="D669">
        <v>2022</v>
      </c>
      <c r="E669" t="s">
        <v>161</v>
      </c>
      <c r="F669">
        <v>35681723</v>
      </c>
    </row>
    <row r="670" spans="1:6" x14ac:dyDescent="0.15">
      <c r="A670" t="s">
        <v>369</v>
      </c>
      <c r="C670" t="s">
        <v>371</v>
      </c>
      <c r="D670">
        <v>2021</v>
      </c>
      <c r="E670" t="s">
        <v>74</v>
      </c>
      <c r="F670">
        <v>34433181</v>
      </c>
    </row>
    <row r="671" spans="1:6" x14ac:dyDescent="0.15">
      <c r="A671" t="s">
        <v>805</v>
      </c>
      <c r="C671" t="s">
        <v>807</v>
      </c>
      <c r="D671">
        <v>2022</v>
      </c>
      <c r="E671" t="s">
        <v>819</v>
      </c>
      <c r="F671">
        <v>34626484</v>
      </c>
    </row>
    <row r="672" spans="1:6" x14ac:dyDescent="0.15">
      <c r="A672" t="s">
        <v>872</v>
      </c>
      <c r="C672" t="s">
        <v>874</v>
      </c>
      <c r="D672">
        <v>2020</v>
      </c>
      <c r="E672" t="s">
        <v>887</v>
      </c>
      <c r="F672">
        <v>32289644</v>
      </c>
    </row>
    <row r="673" spans="1:6" x14ac:dyDescent="0.15">
      <c r="A673" t="s">
        <v>1181</v>
      </c>
      <c r="C673" t="s">
        <v>1183</v>
      </c>
      <c r="D673">
        <v>2022</v>
      </c>
      <c r="E673" t="s">
        <v>1195</v>
      </c>
      <c r="F673">
        <v>35649328</v>
      </c>
    </row>
    <row r="674" spans="1:6" x14ac:dyDescent="0.15">
      <c r="A674" t="s">
        <v>1374</v>
      </c>
      <c r="C674" t="s">
        <v>1376</v>
      </c>
      <c r="D674">
        <v>2021</v>
      </c>
      <c r="E674" t="s">
        <v>1386</v>
      </c>
      <c r="F674">
        <v>34471367</v>
      </c>
    </row>
    <row r="675" spans="1:6" x14ac:dyDescent="0.15">
      <c r="A675" t="s">
        <v>1410</v>
      </c>
      <c r="C675" t="s">
        <v>1412</v>
      </c>
      <c r="D675">
        <v>2022</v>
      </c>
      <c r="E675" t="s">
        <v>1423</v>
      </c>
      <c r="F675">
        <v>35301052</v>
      </c>
    </row>
    <row r="676" spans="1:6" x14ac:dyDescent="0.15">
      <c r="A676" t="s">
        <v>1510</v>
      </c>
      <c r="C676" t="s">
        <v>1512</v>
      </c>
      <c r="D676">
        <v>2021</v>
      </c>
      <c r="E676" t="s">
        <v>1522</v>
      </c>
      <c r="F676">
        <v>34638452</v>
      </c>
    </row>
    <row r="677" spans="1:6" x14ac:dyDescent="0.15">
      <c r="A677" t="s">
        <v>1796</v>
      </c>
      <c r="C677" t="s">
        <v>1798</v>
      </c>
      <c r="D677">
        <v>2022</v>
      </c>
      <c r="E677" t="s">
        <v>1809</v>
      </c>
      <c r="F677">
        <v>35444613</v>
      </c>
    </row>
    <row r="678" spans="1:6" x14ac:dyDescent="0.15">
      <c r="A678" t="s">
        <v>1964</v>
      </c>
      <c r="C678" t="s">
        <v>1966</v>
      </c>
      <c r="D678">
        <v>2022</v>
      </c>
      <c r="E678" t="s">
        <v>1975</v>
      </c>
      <c r="F678">
        <v>35408821</v>
      </c>
    </row>
    <row r="679" spans="1:6" x14ac:dyDescent="0.15">
      <c r="A679" t="s">
        <v>2389</v>
      </c>
      <c r="C679" t="s">
        <v>2391</v>
      </c>
      <c r="D679">
        <v>2020</v>
      </c>
      <c r="E679" t="s">
        <v>2405</v>
      </c>
      <c r="F679" t="s">
        <v>74</v>
      </c>
    </row>
    <row r="680" spans="1:6" x14ac:dyDescent="0.15">
      <c r="A680" t="s">
        <v>2389</v>
      </c>
      <c r="C680" t="s">
        <v>2391</v>
      </c>
      <c r="D680">
        <v>2020</v>
      </c>
      <c r="E680" t="s">
        <v>2405</v>
      </c>
      <c r="F680" t="s">
        <v>74</v>
      </c>
    </row>
    <row r="681" spans="1:6" x14ac:dyDescent="0.15">
      <c r="A681" t="s">
        <v>2414</v>
      </c>
      <c r="C681" t="s">
        <v>2416</v>
      </c>
      <c r="D681">
        <v>2021</v>
      </c>
      <c r="E681" t="s">
        <v>2429</v>
      </c>
      <c r="F681" t="s">
        <v>74</v>
      </c>
    </row>
    <row r="682" spans="1:6" x14ac:dyDescent="0.15">
      <c r="A682" t="s">
        <v>2512</v>
      </c>
      <c r="C682" t="s">
        <v>2514</v>
      </c>
      <c r="D682" t="s">
        <v>74</v>
      </c>
      <c r="E682" t="s">
        <v>2522</v>
      </c>
      <c r="F682">
        <v>35731982</v>
      </c>
    </row>
    <row r="683" spans="1:6" x14ac:dyDescent="0.15">
      <c r="A683" t="s">
        <v>2656</v>
      </c>
      <c r="C683" t="s">
        <v>2658</v>
      </c>
      <c r="D683">
        <v>2022</v>
      </c>
      <c r="E683" t="s">
        <v>2669</v>
      </c>
      <c r="F683">
        <v>35696523</v>
      </c>
    </row>
    <row r="684" spans="1:6" x14ac:dyDescent="0.15">
      <c r="A684" t="s">
        <v>2737</v>
      </c>
      <c r="C684" t="s">
        <v>2739</v>
      </c>
      <c r="D684">
        <v>2021</v>
      </c>
      <c r="E684" t="s">
        <v>2751</v>
      </c>
      <c r="F684">
        <v>34098025</v>
      </c>
    </row>
    <row r="685" spans="1:6" x14ac:dyDescent="0.15">
      <c r="A685" t="s">
        <v>2834</v>
      </c>
      <c r="C685" t="s">
        <v>2836</v>
      </c>
      <c r="D685">
        <v>2022</v>
      </c>
      <c r="E685" t="s">
        <v>2845</v>
      </c>
      <c r="F685">
        <v>35008226</v>
      </c>
    </row>
    <row r="686" spans="1:6" x14ac:dyDescent="0.15">
      <c r="A686" t="s">
        <v>3031</v>
      </c>
      <c r="C686" t="s">
        <v>3033</v>
      </c>
      <c r="D686">
        <v>2022</v>
      </c>
      <c r="E686" t="s">
        <v>3044</v>
      </c>
      <c r="F686">
        <v>34906563</v>
      </c>
    </row>
    <row r="687" spans="1:6" x14ac:dyDescent="0.15">
      <c r="A687" t="s">
        <v>3175</v>
      </c>
      <c r="C687" t="s">
        <v>3177</v>
      </c>
      <c r="D687">
        <v>2022</v>
      </c>
      <c r="E687" t="s">
        <v>3187</v>
      </c>
      <c r="F687">
        <v>35696959</v>
      </c>
    </row>
    <row r="688" spans="1:6" x14ac:dyDescent="0.15">
      <c r="A688" t="s">
        <v>3461</v>
      </c>
      <c r="C688" t="s">
        <v>3463</v>
      </c>
      <c r="D688">
        <v>2022</v>
      </c>
      <c r="E688" t="s">
        <v>3473</v>
      </c>
      <c r="F688">
        <v>35630882</v>
      </c>
    </row>
    <row r="689" spans="1:6" x14ac:dyDescent="0.15">
      <c r="A689" t="s">
        <v>3568</v>
      </c>
      <c r="C689" t="s">
        <v>3570</v>
      </c>
      <c r="D689">
        <v>2022</v>
      </c>
      <c r="E689" t="s">
        <v>3581</v>
      </c>
      <c r="F689" t="s">
        <v>74</v>
      </c>
    </row>
    <row r="690" spans="1:6" x14ac:dyDescent="0.15">
      <c r="A690" t="s">
        <v>3664</v>
      </c>
      <c r="C690" t="s">
        <v>3666</v>
      </c>
      <c r="D690" t="s">
        <v>74</v>
      </c>
      <c r="E690" t="s">
        <v>3678</v>
      </c>
      <c r="F690">
        <v>35598195</v>
      </c>
    </row>
    <row r="691" spans="1:6" x14ac:dyDescent="0.15">
      <c r="A691" t="s">
        <v>3794</v>
      </c>
      <c r="C691" t="s">
        <v>3796</v>
      </c>
      <c r="D691">
        <v>2022</v>
      </c>
      <c r="E691" t="s">
        <v>3808</v>
      </c>
      <c r="F691">
        <v>35199894</v>
      </c>
    </row>
    <row r="692" spans="1:6" x14ac:dyDescent="0.15">
      <c r="A692" t="s">
        <v>4215</v>
      </c>
      <c r="C692" t="s">
        <v>4217</v>
      </c>
      <c r="D692">
        <v>2022</v>
      </c>
      <c r="E692" t="s">
        <v>4228</v>
      </c>
      <c r="F692">
        <v>35623789</v>
      </c>
    </row>
    <row r="693" spans="1:6" x14ac:dyDescent="0.15">
      <c r="A693" t="s">
        <v>4274</v>
      </c>
      <c r="C693" t="s">
        <v>4276</v>
      </c>
      <c r="D693">
        <v>2022</v>
      </c>
      <c r="E693" t="s">
        <v>4285</v>
      </c>
      <c r="F693" t="s">
        <v>74</v>
      </c>
    </row>
    <row r="694" spans="1:6" x14ac:dyDescent="0.15">
      <c r="A694" t="s">
        <v>4947</v>
      </c>
      <c r="C694" t="s">
        <v>4949</v>
      </c>
      <c r="D694">
        <v>2020</v>
      </c>
      <c r="E694" t="s">
        <v>74</v>
      </c>
      <c r="F694" t="s">
        <v>74</v>
      </c>
    </row>
    <row r="695" spans="1:6" x14ac:dyDescent="0.15">
      <c r="A695" t="s">
        <v>5015</v>
      </c>
      <c r="C695" t="s">
        <v>5017</v>
      </c>
      <c r="D695">
        <v>2022</v>
      </c>
      <c r="E695" t="s">
        <v>5027</v>
      </c>
      <c r="F695">
        <v>35682646</v>
      </c>
    </row>
    <row r="696" spans="1:6" x14ac:dyDescent="0.15">
      <c r="A696" t="s">
        <v>5044</v>
      </c>
      <c r="C696" t="s">
        <v>5046</v>
      </c>
      <c r="D696">
        <v>2022</v>
      </c>
      <c r="E696" t="s">
        <v>5059</v>
      </c>
      <c r="F696" t="s">
        <v>74</v>
      </c>
    </row>
    <row r="697" spans="1:6" x14ac:dyDescent="0.15">
      <c r="A697" t="s">
        <v>5198</v>
      </c>
      <c r="C697" t="s">
        <v>5200</v>
      </c>
      <c r="D697">
        <v>2022</v>
      </c>
      <c r="E697" t="s">
        <v>5209</v>
      </c>
      <c r="F697">
        <v>35721867</v>
      </c>
    </row>
    <row r="698" spans="1:6" x14ac:dyDescent="0.15">
      <c r="A698" t="s">
        <v>5225</v>
      </c>
      <c r="C698" t="s">
        <v>5227</v>
      </c>
      <c r="D698">
        <v>2021</v>
      </c>
      <c r="E698" t="s">
        <v>5236</v>
      </c>
      <c r="F698">
        <v>34830979</v>
      </c>
    </row>
    <row r="699" spans="1:6" x14ac:dyDescent="0.15">
      <c r="A699" t="s">
        <v>5443</v>
      </c>
      <c r="C699" t="s">
        <v>5445</v>
      </c>
      <c r="D699">
        <v>2021</v>
      </c>
      <c r="E699" t="s">
        <v>5457</v>
      </c>
      <c r="F699">
        <v>35005084</v>
      </c>
    </row>
    <row r="700" spans="1:6" x14ac:dyDescent="0.15">
      <c r="A700" t="s">
        <v>5789</v>
      </c>
      <c r="C700" t="s">
        <v>5791</v>
      </c>
      <c r="D700">
        <v>2021</v>
      </c>
      <c r="E700" t="s">
        <v>5804</v>
      </c>
      <c r="F700">
        <v>33086079</v>
      </c>
    </row>
    <row r="701" spans="1:6" x14ac:dyDescent="0.15">
      <c r="A701" t="s">
        <v>5807</v>
      </c>
      <c r="C701" t="s">
        <v>5809</v>
      </c>
      <c r="D701">
        <v>2021</v>
      </c>
      <c r="E701" t="s">
        <v>5819</v>
      </c>
      <c r="F701">
        <v>34858034</v>
      </c>
    </row>
    <row r="702" spans="1:6" x14ac:dyDescent="0.15">
      <c r="A702" t="s">
        <v>6020</v>
      </c>
      <c r="C702" t="s">
        <v>6022</v>
      </c>
      <c r="D702">
        <v>2021</v>
      </c>
      <c r="E702" t="s">
        <v>6033</v>
      </c>
      <c r="F702">
        <v>34080172</v>
      </c>
    </row>
    <row r="703" spans="1:6" x14ac:dyDescent="0.15">
      <c r="A703" t="s">
        <v>6152</v>
      </c>
      <c r="C703" t="s">
        <v>6154</v>
      </c>
      <c r="D703">
        <v>2022</v>
      </c>
      <c r="E703" t="s">
        <v>6165</v>
      </c>
      <c r="F703">
        <v>35094679</v>
      </c>
    </row>
    <row r="704" spans="1:6" x14ac:dyDescent="0.15">
      <c r="A704" t="s">
        <v>6238</v>
      </c>
      <c r="C704" t="s">
        <v>6240</v>
      </c>
      <c r="D704">
        <v>2022</v>
      </c>
      <c r="E704" t="s">
        <v>6250</v>
      </c>
      <c r="F704">
        <v>35682592</v>
      </c>
    </row>
    <row r="705" spans="1:6" x14ac:dyDescent="0.15">
      <c r="A705" t="s">
        <v>6481</v>
      </c>
      <c r="C705" t="s">
        <v>6483</v>
      </c>
      <c r="D705">
        <v>2022</v>
      </c>
      <c r="E705" t="s">
        <v>6494</v>
      </c>
      <c r="F705">
        <v>35474906</v>
      </c>
    </row>
    <row r="706" spans="1:6" x14ac:dyDescent="0.15">
      <c r="A706" t="s">
        <v>6666</v>
      </c>
      <c r="C706" t="s">
        <v>6668</v>
      </c>
      <c r="D706">
        <v>2021</v>
      </c>
      <c r="E706" t="s">
        <v>6679</v>
      </c>
      <c r="F706" t="s">
        <v>74</v>
      </c>
    </row>
    <row r="707" spans="1:6" x14ac:dyDescent="0.15">
      <c r="A707" t="s">
        <v>6735</v>
      </c>
      <c r="C707" t="s">
        <v>6737</v>
      </c>
      <c r="D707">
        <v>2022</v>
      </c>
      <c r="E707" t="s">
        <v>6746</v>
      </c>
      <c r="F707">
        <v>35075190</v>
      </c>
    </row>
    <row r="708" spans="1:6" x14ac:dyDescent="0.15">
      <c r="A708" t="s">
        <v>6982</v>
      </c>
      <c r="C708" t="s">
        <v>6984</v>
      </c>
      <c r="D708">
        <v>2022</v>
      </c>
      <c r="E708" t="s">
        <v>6995</v>
      </c>
      <c r="F708">
        <v>35092573</v>
      </c>
    </row>
    <row r="709" spans="1:6" x14ac:dyDescent="0.15">
      <c r="A709" t="s">
        <v>7130</v>
      </c>
      <c r="C709" t="s">
        <v>7132</v>
      </c>
      <c r="D709">
        <v>2022</v>
      </c>
      <c r="E709" t="s">
        <v>7142</v>
      </c>
      <c r="F709">
        <v>35081499</v>
      </c>
    </row>
    <row r="710" spans="1:6" x14ac:dyDescent="0.15">
      <c r="A710" t="s">
        <v>7159</v>
      </c>
      <c r="C710" t="s">
        <v>7161</v>
      </c>
      <c r="D710">
        <v>2021</v>
      </c>
      <c r="E710" t="s">
        <v>7172</v>
      </c>
      <c r="F710" t="s">
        <v>74</v>
      </c>
    </row>
    <row r="711" spans="1:6" x14ac:dyDescent="0.15">
      <c r="A711" t="s">
        <v>7552</v>
      </c>
      <c r="C711" t="s">
        <v>7554</v>
      </c>
      <c r="D711">
        <v>2020</v>
      </c>
      <c r="E711" t="s">
        <v>7564</v>
      </c>
      <c r="F711">
        <v>32925795</v>
      </c>
    </row>
    <row r="712" spans="1:6" x14ac:dyDescent="0.15">
      <c r="A712" t="s">
        <v>7626</v>
      </c>
      <c r="C712" t="s">
        <v>7628</v>
      </c>
      <c r="D712">
        <v>2022</v>
      </c>
      <c r="E712" t="s">
        <v>7637</v>
      </c>
      <c r="F712">
        <v>35044159</v>
      </c>
    </row>
    <row r="713" spans="1:6" x14ac:dyDescent="0.15">
      <c r="A713" t="s">
        <v>7837</v>
      </c>
      <c r="C713" t="s">
        <v>7839</v>
      </c>
      <c r="D713">
        <v>2022</v>
      </c>
      <c r="E713" t="s">
        <v>7850</v>
      </c>
      <c r="F713">
        <v>35220071</v>
      </c>
    </row>
    <row r="714" spans="1:6" x14ac:dyDescent="0.15">
      <c r="A714" t="s">
        <v>7961</v>
      </c>
      <c r="C714" t="s">
        <v>7963</v>
      </c>
      <c r="D714">
        <v>2018</v>
      </c>
      <c r="E714" t="s">
        <v>7974</v>
      </c>
      <c r="F714" t="s">
        <v>74</v>
      </c>
    </row>
    <row r="715" spans="1:6" x14ac:dyDescent="0.15">
      <c r="A715" t="s">
        <v>8035</v>
      </c>
      <c r="C715" t="s">
        <v>8037</v>
      </c>
      <c r="D715">
        <v>2018</v>
      </c>
      <c r="E715" t="s">
        <v>8047</v>
      </c>
      <c r="F715" t="s">
        <v>74</v>
      </c>
    </row>
    <row r="716" spans="1:6" x14ac:dyDescent="0.15">
      <c r="A716" t="s">
        <v>8155</v>
      </c>
      <c r="C716" t="s">
        <v>8157</v>
      </c>
      <c r="D716">
        <v>2022</v>
      </c>
      <c r="E716" t="s">
        <v>8167</v>
      </c>
      <c r="F716">
        <v>35159325</v>
      </c>
    </row>
    <row r="717" spans="1:6" x14ac:dyDescent="0.15">
      <c r="A717" t="s">
        <v>8286</v>
      </c>
      <c r="C717" t="s">
        <v>8288</v>
      </c>
      <c r="D717">
        <v>2019</v>
      </c>
      <c r="E717" t="s">
        <v>8300</v>
      </c>
      <c r="F717" t="s">
        <v>74</v>
      </c>
    </row>
    <row r="718" spans="1:6" x14ac:dyDescent="0.15">
      <c r="A718" t="s">
        <v>8349</v>
      </c>
      <c r="C718" t="s">
        <v>8351</v>
      </c>
      <c r="D718">
        <v>2022</v>
      </c>
      <c r="E718" t="s">
        <v>8362</v>
      </c>
      <c r="F718">
        <v>35371331</v>
      </c>
    </row>
    <row r="719" spans="1:6" x14ac:dyDescent="0.15">
      <c r="A719" t="s">
        <v>8364</v>
      </c>
      <c r="C719" t="s">
        <v>8366</v>
      </c>
      <c r="D719">
        <v>2020</v>
      </c>
      <c r="E719" t="s">
        <v>8374</v>
      </c>
      <c r="F719" t="s">
        <v>74</v>
      </c>
    </row>
    <row r="720" spans="1:6" x14ac:dyDescent="0.15">
      <c r="A720" t="s">
        <v>8453</v>
      </c>
      <c r="C720" t="s">
        <v>8455</v>
      </c>
      <c r="D720">
        <v>2022</v>
      </c>
      <c r="E720" t="s">
        <v>8467</v>
      </c>
      <c r="F720">
        <v>35454997</v>
      </c>
    </row>
    <row r="721" spans="1:6" x14ac:dyDescent="0.15">
      <c r="A721" t="s">
        <v>9042</v>
      </c>
      <c r="C721" t="s">
        <v>9044</v>
      </c>
      <c r="D721">
        <v>2021</v>
      </c>
      <c r="E721" t="s">
        <v>74</v>
      </c>
      <c r="F721">
        <v>34150007</v>
      </c>
    </row>
    <row r="722" spans="1:6" x14ac:dyDescent="0.15">
      <c r="A722" t="s">
        <v>9152</v>
      </c>
      <c r="C722" t="s">
        <v>9154</v>
      </c>
      <c r="D722">
        <v>2022</v>
      </c>
      <c r="E722" t="s">
        <v>9164</v>
      </c>
      <c r="F722">
        <v>35182955</v>
      </c>
    </row>
    <row r="723" spans="1:6" x14ac:dyDescent="0.15">
      <c r="A723" t="s">
        <v>9506</v>
      </c>
      <c r="C723" t="s">
        <v>9508</v>
      </c>
      <c r="D723">
        <v>2022</v>
      </c>
      <c r="E723" t="s">
        <v>9516</v>
      </c>
      <c r="F723">
        <v>35421672</v>
      </c>
    </row>
    <row r="724" spans="1:6" x14ac:dyDescent="0.15">
      <c r="A724" t="s">
        <v>9646</v>
      </c>
      <c r="C724" t="s">
        <v>9648</v>
      </c>
      <c r="D724">
        <v>2021</v>
      </c>
      <c r="E724" t="s">
        <v>9661</v>
      </c>
      <c r="F724">
        <v>34972769</v>
      </c>
    </row>
    <row r="725" spans="1:6" x14ac:dyDescent="0.15">
      <c r="A725" t="s">
        <v>9741</v>
      </c>
      <c r="C725" t="s">
        <v>9743</v>
      </c>
      <c r="D725">
        <v>2022</v>
      </c>
      <c r="E725" t="s">
        <v>9753</v>
      </c>
      <c r="F725">
        <v>35710947</v>
      </c>
    </row>
    <row r="726" spans="1:6" x14ac:dyDescent="0.15">
      <c r="A726" t="s">
        <v>9829</v>
      </c>
      <c r="C726" t="s">
        <v>9831</v>
      </c>
      <c r="D726">
        <v>2021</v>
      </c>
      <c r="E726" t="s">
        <v>9840</v>
      </c>
      <c r="F726">
        <v>34497581</v>
      </c>
    </row>
    <row r="727" spans="1:6" x14ac:dyDescent="0.15">
      <c r="A727" t="s">
        <v>9938</v>
      </c>
      <c r="C727" t="s">
        <v>9940</v>
      </c>
      <c r="D727">
        <v>2022</v>
      </c>
      <c r="E727" t="s">
        <v>9949</v>
      </c>
      <c r="F727">
        <v>35598553</v>
      </c>
    </row>
    <row r="728" spans="1:6" x14ac:dyDescent="0.15">
      <c r="A728" t="s">
        <v>10045</v>
      </c>
      <c r="C728" t="s">
        <v>10047</v>
      </c>
      <c r="D728">
        <v>2022</v>
      </c>
      <c r="E728" t="s">
        <v>10057</v>
      </c>
      <c r="F728">
        <v>35742955</v>
      </c>
    </row>
    <row r="729" spans="1:6" x14ac:dyDescent="0.15">
      <c r="A729" t="s">
        <v>10213</v>
      </c>
      <c r="C729" t="s">
        <v>10215</v>
      </c>
      <c r="D729">
        <v>2022</v>
      </c>
      <c r="E729" t="s">
        <v>10224</v>
      </c>
      <c r="F729">
        <v>35898402</v>
      </c>
    </row>
    <row r="730" spans="1:6" x14ac:dyDescent="0.15">
      <c r="A730" t="s">
        <v>10494</v>
      </c>
      <c r="C730" t="s">
        <v>10496</v>
      </c>
      <c r="D730">
        <v>2022</v>
      </c>
      <c r="E730" t="s">
        <v>10505</v>
      </c>
      <c r="F730">
        <v>35326558</v>
      </c>
    </row>
    <row r="731" spans="1:6" x14ac:dyDescent="0.15">
      <c r="A731" t="s">
        <v>10551</v>
      </c>
      <c r="C731" t="s">
        <v>10553</v>
      </c>
      <c r="D731">
        <v>2022</v>
      </c>
      <c r="E731" t="s">
        <v>10562</v>
      </c>
      <c r="F731">
        <v>35196550</v>
      </c>
    </row>
    <row r="732" spans="1:6" x14ac:dyDescent="0.15">
      <c r="A732" t="s">
        <v>10763</v>
      </c>
      <c r="C732" t="s">
        <v>10765</v>
      </c>
      <c r="D732">
        <v>2021</v>
      </c>
      <c r="E732" t="s">
        <v>10774</v>
      </c>
      <c r="F732">
        <v>34440945</v>
      </c>
    </row>
    <row r="733" spans="1:6" x14ac:dyDescent="0.15">
      <c r="A733" t="s">
        <v>10839</v>
      </c>
      <c r="C733" t="s">
        <v>10841</v>
      </c>
      <c r="D733">
        <v>2016</v>
      </c>
      <c r="E733" t="s">
        <v>10853</v>
      </c>
      <c r="F733">
        <v>30190889</v>
      </c>
    </row>
    <row r="734" spans="1:6" x14ac:dyDescent="0.15">
      <c r="A734" t="s">
        <v>10855</v>
      </c>
      <c r="C734" t="s">
        <v>10857</v>
      </c>
      <c r="D734">
        <v>2022</v>
      </c>
      <c r="E734" t="s">
        <v>10865</v>
      </c>
      <c r="F734">
        <v>35547750</v>
      </c>
    </row>
    <row r="735" spans="1:6" x14ac:dyDescent="0.15">
      <c r="A735" t="s">
        <v>11073</v>
      </c>
      <c r="C735" t="s">
        <v>11075</v>
      </c>
      <c r="D735">
        <v>2022</v>
      </c>
      <c r="E735" t="s">
        <v>11089</v>
      </c>
      <c r="F735">
        <v>34806897</v>
      </c>
    </row>
    <row r="736" spans="1:6" x14ac:dyDescent="0.15">
      <c r="A736" s="1" t="s">
        <v>11134</v>
      </c>
      <c r="B736" s="1"/>
      <c r="C736" s="1" t="s">
        <v>11133</v>
      </c>
      <c r="D736" s="1">
        <v>2021</v>
      </c>
      <c r="E736" s="1" t="s">
        <v>11140</v>
      </c>
      <c r="F736" s="1">
        <v>33548389</v>
      </c>
    </row>
    <row r="737" spans="1:6" x14ac:dyDescent="0.15">
      <c r="A737" s="1" t="s">
        <v>11142</v>
      </c>
      <c r="B737" s="1"/>
      <c r="C737" s="1" t="s">
        <v>11141</v>
      </c>
      <c r="D737" s="1">
        <v>2020</v>
      </c>
      <c r="E737" s="1" t="s">
        <v>11147</v>
      </c>
      <c r="F737" s="1">
        <v>32457507</v>
      </c>
    </row>
    <row r="738" spans="1:6" x14ac:dyDescent="0.15">
      <c r="A738" s="1" t="s">
        <v>11149</v>
      </c>
      <c r="B738" s="1"/>
      <c r="C738" s="1" t="s">
        <v>11148</v>
      </c>
      <c r="D738" s="1">
        <v>2017</v>
      </c>
      <c r="E738" s="1" t="s">
        <v>11155</v>
      </c>
      <c r="F738" s="1">
        <v>28875730</v>
      </c>
    </row>
    <row r="739" spans="1:6" x14ac:dyDescent="0.15">
      <c r="A739" s="1" t="s">
        <v>11162</v>
      </c>
      <c r="B739" s="1"/>
      <c r="C739" s="1" t="s">
        <v>11161</v>
      </c>
      <c r="D739" s="1">
        <v>2021</v>
      </c>
      <c r="E739" s="1" t="s">
        <v>11167</v>
      </c>
      <c r="F739" s="1">
        <v>34331845</v>
      </c>
    </row>
    <row r="740" spans="1:6" x14ac:dyDescent="0.15">
      <c r="A740" s="1" t="s">
        <v>11169</v>
      </c>
      <c r="B740" s="1"/>
      <c r="C740" s="1" t="s">
        <v>11168</v>
      </c>
      <c r="D740" s="1">
        <v>2020</v>
      </c>
      <c r="E740" s="1" t="s">
        <v>11174</v>
      </c>
      <c r="F740" s="1">
        <v>32685026</v>
      </c>
    </row>
    <row r="741" spans="1:6" x14ac:dyDescent="0.15">
      <c r="A741" s="1" t="s">
        <v>11176</v>
      </c>
      <c r="B741" s="1"/>
      <c r="C741" s="1" t="s">
        <v>11175</v>
      </c>
      <c r="D741" s="1">
        <v>2020</v>
      </c>
      <c r="E741" s="1" t="s">
        <v>11181</v>
      </c>
      <c r="F741" s="1">
        <v>31666668</v>
      </c>
    </row>
    <row r="742" spans="1:6" x14ac:dyDescent="0.15">
      <c r="A742" s="1" t="s">
        <v>11183</v>
      </c>
      <c r="B742" s="1"/>
      <c r="C742" s="1" t="s">
        <v>11182</v>
      </c>
      <c r="D742" s="1">
        <v>2019</v>
      </c>
      <c r="E742" s="1" t="s">
        <v>11189</v>
      </c>
      <c r="F742" s="1">
        <v>31152821</v>
      </c>
    </row>
    <row r="743" spans="1:6" x14ac:dyDescent="0.15">
      <c r="A743" s="1" t="s">
        <v>11196</v>
      </c>
      <c r="B743" s="1"/>
      <c r="C743" s="1" t="s">
        <v>11195</v>
      </c>
      <c r="D743" s="1">
        <v>2021</v>
      </c>
      <c r="E743" s="1" t="s">
        <v>11200</v>
      </c>
      <c r="F743" s="1">
        <v>34672606</v>
      </c>
    </row>
    <row r="744" spans="1:6" x14ac:dyDescent="0.15">
      <c r="A744" s="1" t="s">
        <v>11202</v>
      </c>
      <c r="B744" s="1"/>
      <c r="C744" s="1" t="s">
        <v>11201</v>
      </c>
      <c r="D744" s="1">
        <v>2018</v>
      </c>
      <c r="E744" s="1" t="s">
        <v>11206</v>
      </c>
      <c r="F744" s="1">
        <v>29795272</v>
      </c>
    </row>
    <row r="745" spans="1:6" x14ac:dyDescent="0.15">
      <c r="A745" s="1" t="s">
        <v>11223</v>
      </c>
      <c r="B745" s="1"/>
      <c r="C745" s="1" t="s">
        <v>11222</v>
      </c>
      <c r="D745" s="1">
        <v>2021</v>
      </c>
      <c r="E745" s="1" t="s">
        <v>11228</v>
      </c>
      <c r="F745" s="1">
        <v>33783474</v>
      </c>
    </row>
    <row r="746" spans="1:6" x14ac:dyDescent="0.15">
      <c r="A746" s="1" t="s">
        <v>11236</v>
      </c>
      <c r="B746" s="1"/>
      <c r="C746" s="1" t="s">
        <v>11235</v>
      </c>
      <c r="D746" s="1">
        <v>2018</v>
      </c>
      <c r="E746" s="1" t="s">
        <v>11241</v>
      </c>
      <c r="F746" s="1">
        <v>29513618</v>
      </c>
    </row>
    <row r="747" spans="1:6" x14ac:dyDescent="0.15">
      <c r="A747" s="1" t="s">
        <v>11243</v>
      </c>
      <c r="B747" s="1"/>
      <c r="C747" s="1" t="s">
        <v>11242</v>
      </c>
      <c r="D747" s="1">
        <v>2019</v>
      </c>
      <c r="E747" s="1" t="s">
        <v>11246</v>
      </c>
      <c r="F747" s="1">
        <v>31228184</v>
      </c>
    </row>
    <row r="748" spans="1:6" x14ac:dyDescent="0.15">
      <c r="A748" s="1" t="s">
        <v>11248</v>
      </c>
      <c r="B748" s="1"/>
      <c r="C748" s="1" t="s">
        <v>11247</v>
      </c>
      <c r="D748" s="1">
        <v>2016</v>
      </c>
      <c r="E748" s="1" t="s">
        <v>11253</v>
      </c>
      <c r="F748" s="1">
        <v>27882925</v>
      </c>
    </row>
    <row r="749" spans="1:6" x14ac:dyDescent="0.15">
      <c r="A749" s="1" t="s">
        <v>11255</v>
      </c>
      <c r="B749" s="1"/>
      <c r="C749" s="1" t="s">
        <v>11254</v>
      </c>
      <c r="D749" s="1">
        <v>2022</v>
      </c>
      <c r="E749" s="1" t="s">
        <v>11260</v>
      </c>
      <c r="F749" s="1">
        <v>34388259</v>
      </c>
    </row>
    <row r="750" spans="1:6" x14ac:dyDescent="0.15">
      <c r="A750" s="1" t="s">
        <v>11273</v>
      </c>
      <c r="B750" s="1"/>
      <c r="C750" s="1" t="s">
        <v>11272</v>
      </c>
      <c r="D750" s="1">
        <v>2018</v>
      </c>
      <c r="E750" s="1" t="s">
        <v>11277</v>
      </c>
      <c r="F750" s="1">
        <v>29556344</v>
      </c>
    </row>
    <row r="751" spans="1:6" x14ac:dyDescent="0.15">
      <c r="A751" s="1" t="s">
        <v>11292</v>
      </c>
      <c r="B751" s="1"/>
      <c r="C751" s="1" t="s">
        <v>11291</v>
      </c>
      <c r="D751" s="1">
        <v>2011</v>
      </c>
      <c r="E751" s="1" t="s">
        <v>11298</v>
      </c>
      <c r="F751" s="1">
        <v>21430775</v>
      </c>
    </row>
    <row r="752" spans="1:6" x14ac:dyDescent="0.15">
      <c r="A752" s="1" t="s">
        <v>11309</v>
      </c>
      <c r="B752" s="1"/>
      <c r="C752" s="1" t="s">
        <v>11308</v>
      </c>
      <c r="D752" s="1">
        <v>2022</v>
      </c>
      <c r="E752" s="1" t="s">
        <v>11313</v>
      </c>
      <c r="F752" s="1">
        <v>34773243</v>
      </c>
    </row>
    <row r="753" spans="1:6" x14ac:dyDescent="0.15">
      <c r="A753" s="1" t="s">
        <v>11319</v>
      </c>
      <c r="B753" s="1"/>
      <c r="C753" s="1" t="s">
        <v>11318</v>
      </c>
      <c r="D753" s="1">
        <v>2018</v>
      </c>
      <c r="E753" s="1" t="s">
        <v>11323</v>
      </c>
      <c r="F753" s="1">
        <v>29668342</v>
      </c>
    </row>
    <row r="754" spans="1:6" x14ac:dyDescent="0.15">
      <c r="A754" s="1" t="s">
        <v>11325</v>
      </c>
      <c r="B754" s="1"/>
      <c r="C754" s="1" t="s">
        <v>11324</v>
      </c>
      <c r="D754" s="1">
        <v>2021</v>
      </c>
      <c r="E754" s="1" t="s">
        <v>11330</v>
      </c>
      <c r="F754" s="1">
        <v>33666501</v>
      </c>
    </row>
    <row r="755" spans="1:6" x14ac:dyDescent="0.15">
      <c r="A755" s="1" t="s">
        <v>11340</v>
      </c>
      <c r="B755" s="1"/>
      <c r="C755" s="1" t="s">
        <v>11339</v>
      </c>
      <c r="D755" s="1">
        <v>2020</v>
      </c>
      <c r="E755" s="1" t="s">
        <v>11345</v>
      </c>
      <c r="F755" s="1">
        <v>33137926</v>
      </c>
    </row>
    <row r="756" spans="1:6" x14ac:dyDescent="0.15">
      <c r="A756" s="1" t="s">
        <v>11347</v>
      </c>
      <c r="B756" s="1"/>
      <c r="C756" s="1" t="s">
        <v>11346</v>
      </c>
      <c r="D756" s="1">
        <v>2020</v>
      </c>
      <c r="E756" s="1" t="s">
        <v>11352</v>
      </c>
      <c r="F756" s="1">
        <v>32903777</v>
      </c>
    </row>
    <row r="757" spans="1:6" x14ac:dyDescent="0.15">
      <c r="A757" s="1" t="s">
        <v>11358</v>
      </c>
      <c r="B757" s="1"/>
      <c r="C757" s="1" t="s">
        <v>11357</v>
      </c>
      <c r="D757" s="1">
        <v>2020</v>
      </c>
      <c r="E757" s="1" t="s">
        <v>11362</v>
      </c>
      <c r="F757" s="1">
        <v>32781015</v>
      </c>
    </row>
    <row r="758" spans="1:6" x14ac:dyDescent="0.15">
      <c r="A758" s="1" t="s">
        <v>11364</v>
      </c>
      <c r="B758" s="1"/>
      <c r="C758" s="1" t="s">
        <v>11363</v>
      </c>
      <c r="D758" s="1">
        <v>2020</v>
      </c>
      <c r="E758" s="1" t="s">
        <v>11370</v>
      </c>
      <c r="F758" s="1">
        <v>31828924</v>
      </c>
    </row>
    <row r="759" spans="1:6" x14ac:dyDescent="0.15">
      <c r="A759" s="1" t="s">
        <v>11372</v>
      </c>
      <c r="B759" s="1"/>
      <c r="C759" s="1" t="s">
        <v>11371</v>
      </c>
      <c r="D759" s="1">
        <v>2020</v>
      </c>
      <c r="E759" s="1" t="s">
        <v>11376</v>
      </c>
      <c r="F759" s="1">
        <v>32231660</v>
      </c>
    </row>
    <row r="760" spans="1:6" x14ac:dyDescent="0.15">
      <c r="A760" s="1" t="s">
        <v>11378</v>
      </c>
      <c r="B760" s="1"/>
      <c r="C760" s="1" t="s">
        <v>11377</v>
      </c>
      <c r="D760" s="1">
        <v>2015</v>
      </c>
      <c r="E760" s="1" t="s">
        <v>11382</v>
      </c>
      <c r="F760" s="1">
        <v>26369507</v>
      </c>
    </row>
    <row r="761" spans="1:6" x14ac:dyDescent="0.15">
      <c r="A761" s="1" t="s">
        <v>11384</v>
      </c>
      <c r="B761" s="1"/>
      <c r="C761" s="1" t="s">
        <v>11383</v>
      </c>
      <c r="D761" s="1">
        <v>2018</v>
      </c>
      <c r="E761" s="1" t="s">
        <v>11389</v>
      </c>
      <c r="F761" s="1">
        <v>29904278</v>
      </c>
    </row>
    <row r="762" spans="1:6" x14ac:dyDescent="0.15">
      <c r="A762" s="1" t="s">
        <v>11401</v>
      </c>
      <c r="B762" s="1"/>
      <c r="C762" s="1" t="s">
        <v>11400</v>
      </c>
      <c r="D762" s="1">
        <v>2020</v>
      </c>
      <c r="E762" s="1" t="s">
        <v>11406</v>
      </c>
      <c r="F762" s="1">
        <v>32067543</v>
      </c>
    </row>
    <row r="763" spans="1:6" x14ac:dyDescent="0.15">
      <c r="A763" s="1" t="s">
        <v>11411</v>
      </c>
      <c r="B763" s="1"/>
      <c r="C763" s="1" t="s">
        <v>11410</v>
      </c>
      <c r="D763" s="1">
        <v>2020</v>
      </c>
      <c r="E763" s="1" t="s">
        <v>11415</v>
      </c>
      <c r="F763" s="1">
        <v>33565967</v>
      </c>
    </row>
    <row r="764" spans="1:6" x14ac:dyDescent="0.15">
      <c r="A764" s="1" t="s">
        <v>11426</v>
      </c>
      <c r="B764" s="1"/>
      <c r="C764" s="1" t="s">
        <v>11425</v>
      </c>
      <c r="D764" s="1">
        <v>2020</v>
      </c>
      <c r="E764" s="1" t="s">
        <v>11430</v>
      </c>
      <c r="F764" s="1">
        <v>31891869</v>
      </c>
    </row>
    <row r="765" spans="1:6" x14ac:dyDescent="0.15">
      <c r="A765" s="1" t="s">
        <v>11432</v>
      </c>
      <c r="B765" s="1"/>
      <c r="C765" s="1" t="s">
        <v>11431</v>
      </c>
      <c r="D765" s="1">
        <v>2018</v>
      </c>
      <c r="E765" s="1" t="s">
        <v>11436</v>
      </c>
      <c r="F765" s="1">
        <v>28833502</v>
      </c>
    </row>
    <row r="766" spans="1:6" x14ac:dyDescent="0.15">
      <c r="A766" s="1" t="s">
        <v>11438</v>
      </c>
      <c r="B766" s="1"/>
      <c r="C766" s="1" t="s">
        <v>11437</v>
      </c>
      <c r="D766" s="1">
        <v>2020</v>
      </c>
      <c r="E766" s="1" t="s">
        <v>11443</v>
      </c>
      <c r="F766" s="1">
        <v>32766689</v>
      </c>
    </row>
    <row r="767" spans="1:6" x14ac:dyDescent="0.15">
      <c r="A767" s="1" t="s">
        <v>11445</v>
      </c>
      <c r="B767" s="1"/>
      <c r="C767" s="1" t="s">
        <v>11444</v>
      </c>
      <c r="D767" s="1">
        <v>2020</v>
      </c>
      <c r="E767" s="1" t="s">
        <v>11449</v>
      </c>
      <c r="F767" s="1">
        <v>31631581</v>
      </c>
    </row>
    <row r="768" spans="1:6" x14ac:dyDescent="0.15">
      <c r="A768" s="1" t="s">
        <v>11454</v>
      </c>
      <c r="B768" s="1"/>
      <c r="C768" s="1" t="s">
        <v>4949</v>
      </c>
      <c r="D768" s="1">
        <v>2020</v>
      </c>
      <c r="E768" s="1" t="s">
        <v>11458</v>
      </c>
      <c r="F768" s="1">
        <v>32442760</v>
      </c>
    </row>
    <row r="769" spans="1:6" x14ac:dyDescent="0.15">
      <c r="A769" s="1" t="s">
        <v>11469</v>
      </c>
      <c r="B769" s="1"/>
      <c r="C769" s="1" t="s">
        <v>11468</v>
      </c>
      <c r="D769" s="1">
        <v>2020</v>
      </c>
      <c r="E769" s="1" t="s">
        <v>11473</v>
      </c>
      <c r="F769" s="1">
        <v>31937439</v>
      </c>
    </row>
    <row r="770" spans="1:6" x14ac:dyDescent="0.15">
      <c r="A770" s="1" t="s">
        <v>11479</v>
      </c>
      <c r="B770" s="1"/>
      <c r="C770" s="1" t="s">
        <v>11478</v>
      </c>
      <c r="D770" s="1">
        <v>2015</v>
      </c>
      <c r="E770" s="1" t="s">
        <v>11483</v>
      </c>
      <c r="F770" s="1">
        <v>26133463</v>
      </c>
    </row>
    <row r="771" spans="1:6" x14ac:dyDescent="0.15">
      <c r="A771" s="1" t="s">
        <v>11485</v>
      </c>
      <c r="B771" s="1"/>
      <c r="C771" s="1" t="s">
        <v>11484</v>
      </c>
      <c r="D771" s="1">
        <v>2020</v>
      </c>
      <c r="E771" s="1" t="s">
        <v>11489</v>
      </c>
      <c r="F771" s="1">
        <v>32219336</v>
      </c>
    </row>
    <row r="772" spans="1:6" x14ac:dyDescent="0.15">
      <c r="A772" s="1" t="s">
        <v>11496</v>
      </c>
      <c r="B772" s="1"/>
      <c r="C772" s="1" t="s">
        <v>11495</v>
      </c>
      <c r="D772" s="1">
        <v>2019</v>
      </c>
      <c r="E772" s="1" t="s">
        <v>11501</v>
      </c>
      <c r="F772" s="1">
        <v>31263077</v>
      </c>
    </row>
    <row r="773" spans="1:6" x14ac:dyDescent="0.15">
      <c r="A773" s="1" t="s">
        <v>11516</v>
      </c>
      <c r="B773" s="1"/>
      <c r="C773" s="1" t="s">
        <v>11515</v>
      </c>
      <c r="D773" s="1">
        <v>2015</v>
      </c>
      <c r="E773" s="1" t="s">
        <v>11521</v>
      </c>
      <c r="F773" s="1">
        <v>26452221</v>
      </c>
    </row>
    <row r="774" spans="1:6" x14ac:dyDescent="0.15">
      <c r="A774" s="1" t="s">
        <v>11541</v>
      </c>
      <c r="B774" s="1"/>
      <c r="C774" s="1" t="s">
        <v>11540</v>
      </c>
      <c r="D774" s="1">
        <v>2019</v>
      </c>
      <c r="E774" s="1" t="s">
        <v>11544</v>
      </c>
      <c r="F774" s="1">
        <v>30835829</v>
      </c>
    </row>
    <row r="775" spans="1:6" x14ac:dyDescent="0.15">
      <c r="A775" s="1" t="s">
        <v>11550</v>
      </c>
      <c r="B775" s="1"/>
      <c r="C775" s="1" t="s">
        <v>11549</v>
      </c>
      <c r="D775" s="1">
        <v>2019</v>
      </c>
      <c r="E775" s="1" t="s">
        <v>11555</v>
      </c>
      <c r="F775" s="1">
        <v>30699987</v>
      </c>
    </row>
    <row r="776" spans="1:6" x14ac:dyDescent="0.15">
      <c r="A776" s="1" t="s">
        <v>11566</v>
      </c>
      <c r="B776" s="1"/>
      <c r="C776" s="1" t="s">
        <v>11565</v>
      </c>
      <c r="D776" s="1">
        <v>2019</v>
      </c>
      <c r="E776" s="1" t="s">
        <v>11570</v>
      </c>
      <c r="F776" s="1">
        <v>30538124</v>
      </c>
    </row>
    <row r="777" spans="1:6" x14ac:dyDescent="0.15">
      <c r="A777" s="1" t="s">
        <v>11572</v>
      </c>
      <c r="B777" s="1"/>
      <c r="C777" s="1" t="s">
        <v>11571</v>
      </c>
      <c r="D777" s="1">
        <v>2018</v>
      </c>
      <c r="E777" s="1" t="s">
        <v>11576</v>
      </c>
      <c r="F777" s="1">
        <v>29520561</v>
      </c>
    </row>
    <row r="778" spans="1:6" x14ac:dyDescent="0.15">
      <c r="A778" s="1" t="s">
        <v>11578</v>
      </c>
      <c r="B778" s="1"/>
      <c r="C778" s="1" t="s">
        <v>11577</v>
      </c>
      <c r="D778" s="1">
        <v>2020</v>
      </c>
      <c r="E778" s="1" t="s">
        <v>11582</v>
      </c>
      <c r="F778" s="1">
        <v>32593407</v>
      </c>
    </row>
    <row r="779" spans="1:6" x14ac:dyDescent="0.15">
      <c r="A779" s="1" t="s">
        <v>11584</v>
      </c>
      <c r="B779" s="1"/>
      <c r="C779" s="1" t="s">
        <v>11583</v>
      </c>
      <c r="D779" s="1">
        <v>2019</v>
      </c>
      <c r="E779" s="1" t="s">
        <v>11588</v>
      </c>
      <c r="F779" s="1">
        <v>30697216</v>
      </c>
    </row>
    <row r="780" spans="1:6" x14ac:dyDescent="0.15">
      <c r="A780" s="1" t="s">
        <v>11590</v>
      </c>
      <c r="B780" s="1"/>
      <c r="C780" s="1" t="s">
        <v>11589</v>
      </c>
      <c r="D780" s="1">
        <v>2013</v>
      </c>
      <c r="E780" s="1" t="s">
        <v>11594</v>
      </c>
      <c r="F780" s="1">
        <v>23505015</v>
      </c>
    </row>
    <row r="781" spans="1:6" x14ac:dyDescent="0.15">
      <c r="A781" s="1" t="s">
        <v>11601</v>
      </c>
      <c r="B781" s="1"/>
      <c r="C781" s="1" t="s">
        <v>11600</v>
      </c>
      <c r="D781" s="1">
        <v>2020</v>
      </c>
      <c r="E781" s="1" t="s">
        <v>11605</v>
      </c>
      <c r="F781" s="1">
        <v>32934287</v>
      </c>
    </row>
    <row r="782" spans="1:6" x14ac:dyDescent="0.15">
      <c r="A782" s="1" t="s">
        <v>11607</v>
      </c>
      <c r="B782" s="1"/>
      <c r="C782" s="1" t="s">
        <v>11606</v>
      </c>
      <c r="D782" s="1">
        <v>2021</v>
      </c>
      <c r="E782" s="1" t="s">
        <v>11610</v>
      </c>
      <c r="F782" s="1">
        <v>33270495</v>
      </c>
    </row>
    <row r="783" spans="1:6" x14ac:dyDescent="0.15">
      <c r="A783" s="1" t="s">
        <v>11612</v>
      </c>
      <c r="B783" s="1"/>
      <c r="C783" s="1" t="s">
        <v>11611</v>
      </c>
      <c r="D783" s="1">
        <v>2020</v>
      </c>
      <c r="E783" s="1" t="s">
        <v>3917</v>
      </c>
      <c r="F783" s="1">
        <v>31740445</v>
      </c>
    </row>
    <row r="784" spans="1:6" x14ac:dyDescent="0.15">
      <c r="A784" s="1" t="s">
        <v>11622</v>
      </c>
      <c r="B784" s="1"/>
      <c r="C784" s="1" t="s">
        <v>11621</v>
      </c>
      <c r="D784" s="1">
        <v>2020</v>
      </c>
      <c r="E784" s="1" t="s">
        <v>11626</v>
      </c>
      <c r="F784" s="1">
        <v>32134270</v>
      </c>
    </row>
    <row r="785" spans="1:6" x14ac:dyDescent="0.15">
      <c r="A785" s="1" t="s">
        <v>11628</v>
      </c>
      <c r="B785" s="1"/>
      <c r="C785" s="1" t="s">
        <v>11627</v>
      </c>
      <c r="D785" s="1">
        <v>2016</v>
      </c>
      <c r="E785" s="1" t="s">
        <v>11631</v>
      </c>
      <c r="F785" s="1">
        <v>27206554</v>
      </c>
    </row>
    <row r="786" spans="1:6" x14ac:dyDescent="0.15">
      <c r="A786" s="1" t="s">
        <v>11641</v>
      </c>
      <c r="B786" s="1"/>
      <c r="C786" s="1" t="s">
        <v>11640</v>
      </c>
      <c r="D786" s="1">
        <v>2014</v>
      </c>
      <c r="E786" s="1" t="s">
        <v>11645</v>
      </c>
      <c r="F786" s="1">
        <v>24580550</v>
      </c>
    </row>
    <row r="787" spans="1:6" x14ac:dyDescent="0.15">
      <c r="A787" s="1" t="s">
        <v>11647</v>
      </c>
      <c r="B787" s="1"/>
      <c r="C787" s="1" t="s">
        <v>11646</v>
      </c>
      <c r="D787" s="1">
        <v>2021</v>
      </c>
      <c r="E787" s="1" t="s">
        <v>11652</v>
      </c>
      <c r="F787" s="1">
        <v>34288927</v>
      </c>
    </row>
    <row r="788" spans="1:6" x14ac:dyDescent="0.15">
      <c r="A788" s="1" t="s">
        <v>11657</v>
      </c>
      <c r="B788" s="1"/>
      <c r="C788" s="1" t="s">
        <v>11656</v>
      </c>
      <c r="D788" s="1">
        <v>2018</v>
      </c>
      <c r="E788" s="1" t="s">
        <v>11663</v>
      </c>
      <c r="F788" s="1">
        <v>28676332</v>
      </c>
    </row>
    <row r="789" spans="1:6" x14ac:dyDescent="0.15">
      <c r="A789" s="1" t="s">
        <v>11673</v>
      </c>
      <c r="B789" s="1"/>
      <c r="C789" s="1" t="s">
        <v>11672</v>
      </c>
      <c r="D789" s="1">
        <v>2014</v>
      </c>
      <c r="E789" s="1" t="s">
        <v>11677</v>
      </c>
      <c r="F789" s="1">
        <v>24909737</v>
      </c>
    </row>
    <row r="790" spans="1:6" x14ac:dyDescent="0.15">
      <c r="A790" s="1" t="s">
        <v>11679</v>
      </c>
      <c r="B790" s="1"/>
      <c r="C790" s="1" t="s">
        <v>11678</v>
      </c>
      <c r="D790" s="1">
        <v>2019</v>
      </c>
      <c r="E790" s="1" t="s">
        <v>11685</v>
      </c>
      <c r="F790" s="1">
        <v>30451032</v>
      </c>
    </row>
    <row r="791" spans="1:6" x14ac:dyDescent="0.15">
      <c r="A791" s="1" t="s">
        <v>11687</v>
      </c>
      <c r="B791" s="1"/>
      <c r="C791" s="1" t="s">
        <v>11686</v>
      </c>
      <c r="D791" s="1">
        <v>2019</v>
      </c>
      <c r="E791" s="1" t="s">
        <v>11692</v>
      </c>
      <c r="F791" s="1">
        <v>30242641</v>
      </c>
    </row>
    <row r="792" spans="1:6" x14ac:dyDescent="0.15">
      <c r="A792" s="1" t="s">
        <v>11694</v>
      </c>
      <c r="B792" s="1"/>
      <c r="C792" s="1" t="s">
        <v>11693</v>
      </c>
      <c r="D792" s="1">
        <v>2019</v>
      </c>
      <c r="E792" s="1" t="s">
        <v>11698</v>
      </c>
      <c r="F792" s="1">
        <v>31784837</v>
      </c>
    </row>
    <row r="793" spans="1:6" x14ac:dyDescent="0.15">
      <c r="A793" s="1" t="s">
        <v>11719</v>
      </c>
      <c r="B793" s="1"/>
      <c r="C793" s="1" t="s">
        <v>11718</v>
      </c>
      <c r="D793" s="1">
        <v>2019</v>
      </c>
      <c r="E793" s="1" t="s">
        <v>11723</v>
      </c>
      <c r="F793" s="1">
        <v>31646316</v>
      </c>
    </row>
    <row r="794" spans="1:6" x14ac:dyDescent="0.15">
      <c r="A794" s="1" t="s">
        <v>11736</v>
      </c>
      <c r="B794" s="1"/>
      <c r="C794" s="1" t="s">
        <v>11735</v>
      </c>
      <c r="D794" s="1">
        <v>2017</v>
      </c>
      <c r="E794" s="1" t="s">
        <v>11740</v>
      </c>
      <c r="F794" s="1">
        <v>28410618</v>
      </c>
    </row>
    <row r="795" spans="1:6" x14ac:dyDescent="0.15">
      <c r="A795" s="1" t="s">
        <v>11742</v>
      </c>
      <c r="B795" s="1"/>
      <c r="C795" s="1" t="s">
        <v>11741</v>
      </c>
      <c r="D795" s="1">
        <v>2021</v>
      </c>
      <c r="E795" s="1" t="s">
        <v>11746</v>
      </c>
      <c r="F795" s="1">
        <v>33666247</v>
      </c>
    </row>
    <row r="796" spans="1:6" x14ac:dyDescent="0.15">
      <c r="A796" s="1" t="s">
        <v>11748</v>
      </c>
      <c r="B796" s="1"/>
      <c r="C796" s="1" t="s">
        <v>11747</v>
      </c>
      <c r="D796" s="1">
        <v>2019</v>
      </c>
      <c r="E796" s="1" t="s">
        <v>11752</v>
      </c>
      <c r="F796" s="1">
        <v>31882820</v>
      </c>
    </row>
    <row r="797" spans="1:6" x14ac:dyDescent="0.15">
      <c r="A797" s="1" t="s">
        <v>11758</v>
      </c>
      <c r="B797" s="1"/>
      <c r="C797" s="1" t="s">
        <v>11757</v>
      </c>
      <c r="D797" s="1">
        <v>2018</v>
      </c>
      <c r="E797" s="1" t="s">
        <v>11761</v>
      </c>
      <c r="F797" s="1">
        <v>29251021</v>
      </c>
    </row>
    <row r="798" spans="1:6" x14ac:dyDescent="0.15">
      <c r="A798" s="1" t="s">
        <v>11763</v>
      </c>
      <c r="B798" s="1"/>
      <c r="C798" s="1" t="s">
        <v>11762</v>
      </c>
      <c r="D798" s="1">
        <v>2016</v>
      </c>
      <c r="E798" s="1" t="s">
        <v>11766</v>
      </c>
      <c r="F798" s="1">
        <v>27191915</v>
      </c>
    </row>
    <row r="799" spans="1:6" x14ac:dyDescent="0.15">
      <c r="A799" s="1" t="s">
        <v>11772</v>
      </c>
      <c r="B799" s="1"/>
      <c r="C799" s="1" t="s">
        <v>11771</v>
      </c>
      <c r="D799" s="1">
        <v>2021</v>
      </c>
      <c r="E799" s="1" t="s">
        <v>11775</v>
      </c>
      <c r="F799" s="1">
        <v>34060032</v>
      </c>
    </row>
    <row r="800" spans="1:6" x14ac:dyDescent="0.15">
      <c r="A800" s="1" t="s">
        <v>11784</v>
      </c>
      <c r="B800" s="1"/>
      <c r="C800" s="1" t="s">
        <v>11783</v>
      </c>
      <c r="D800" s="1">
        <v>2015</v>
      </c>
      <c r="E800" s="1" t="s">
        <v>11790</v>
      </c>
      <c r="F800" s="1">
        <v>25837312</v>
      </c>
    </row>
    <row r="801" spans="1:6" x14ac:dyDescent="0.15">
      <c r="A801" s="1" t="s">
        <v>11792</v>
      </c>
      <c r="B801" s="1"/>
      <c r="C801" s="1" t="s">
        <v>11791</v>
      </c>
      <c r="D801" s="1">
        <v>2015</v>
      </c>
      <c r="E801" s="1" t="s">
        <v>11796</v>
      </c>
      <c r="F801" s="1">
        <v>26238497</v>
      </c>
    </row>
    <row r="802" spans="1:6" x14ac:dyDescent="0.15">
      <c r="A802" s="1" t="s">
        <v>11862</v>
      </c>
      <c r="B802" s="1"/>
      <c r="C802" s="1" t="s">
        <v>11861</v>
      </c>
      <c r="D802" s="1">
        <v>2022</v>
      </c>
      <c r="E802" s="1" t="s">
        <v>11867</v>
      </c>
      <c r="F802" s="1">
        <v>35892331</v>
      </c>
    </row>
    <row r="803" spans="1:6" x14ac:dyDescent="0.15">
      <c r="A803" s="1" t="s">
        <v>11877</v>
      </c>
      <c r="B803" s="1"/>
      <c r="C803" s="1" t="s">
        <v>11876</v>
      </c>
      <c r="D803" s="1">
        <v>2010</v>
      </c>
      <c r="E803" s="1" t="s">
        <v>11882</v>
      </c>
      <c r="F803" s="1">
        <v>20235276</v>
      </c>
    </row>
    <row r="804" spans="1:6" x14ac:dyDescent="0.15">
      <c r="A804" s="1" t="s">
        <v>11898</v>
      </c>
      <c r="B804" s="1"/>
      <c r="C804" s="1" t="s">
        <v>11897</v>
      </c>
      <c r="D804" s="1">
        <v>2017</v>
      </c>
      <c r="E804" s="1" t="s">
        <v>11902</v>
      </c>
      <c r="F804" s="1">
        <v>28167212</v>
      </c>
    </row>
    <row r="805" spans="1:6" x14ac:dyDescent="0.15">
      <c r="A805" s="1" t="s">
        <v>11904</v>
      </c>
      <c r="B805" s="1"/>
      <c r="C805" s="1" t="s">
        <v>11903</v>
      </c>
      <c r="D805" s="1">
        <v>2011</v>
      </c>
      <c r="E805" s="1" t="s">
        <v>11908</v>
      </c>
      <c r="F805" s="1">
        <v>21318413</v>
      </c>
    </row>
    <row r="806" spans="1:6" x14ac:dyDescent="0.15">
      <c r="A806" s="1" t="s">
        <v>11910</v>
      </c>
      <c r="B806" s="1"/>
      <c r="C806" s="1" t="s">
        <v>11909</v>
      </c>
      <c r="D806" s="1">
        <v>2013</v>
      </c>
      <c r="E806" s="1" t="s">
        <v>11914</v>
      </c>
      <c r="F806" s="1">
        <v>24250247</v>
      </c>
    </row>
    <row r="807" spans="1:6" x14ac:dyDescent="0.15">
      <c r="A807" s="1" t="s">
        <v>11935</v>
      </c>
      <c r="B807" s="1"/>
      <c r="C807" s="1" t="s">
        <v>11934</v>
      </c>
      <c r="D807" s="1">
        <v>2016</v>
      </c>
      <c r="E807" s="1" t="s">
        <v>11939</v>
      </c>
      <c r="F807" s="1">
        <v>27075363</v>
      </c>
    </row>
    <row r="808" spans="1:6" x14ac:dyDescent="0.15">
      <c r="A808" s="1" t="s">
        <v>11941</v>
      </c>
      <c r="B808" s="1"/>
      <c r="C808" s="1" t="s">
        <v>11940</v>
      </c>
      <c r="D808" s="1">
        <v>2021</v>
      </c>
      <c r="E808" s="1" t="s">
        <v>11946</v>
      </c>
      <c r="F808" s="1">
        <v>34198263</v>
      </c>
    </row>
    <row r="809" spans="1:6" x14ac:dyDescent="0.15">
      <c r="A809" s="1" t="s">
        <v>11948</v>
      </c>
      <c r="B809" s="1"/>
      <c r="C809" s="1" t="s">
        <v>11947</v>
      </c>
      <c r="D809" s="1">
        <v>2018</v>
      </c>
      <c r="E809" s="1" t="s">
        <v>11952</v>
      </c>
      <c r="F809" s="1">
        <v>30257227</v>
      </c>
    </row>
    <row r="810" spans="1:6" x14ac:dyDescent="0.15">
      <c r="A810" s="1" t="s">
        <v>11954</v>
      </c>
      <c r="B810" s="1"/>
      <c r="C810" s="1" t="s">
        <v>11953</v>
      </c>
      <c r="D810" s="1">
        <v>2021</v>
      </c>
      <c r="E810" s="1" t="s">
        <v>11957</v>
      </c>
      <c r="F810" s="1">
        <v>33798333</v>
      </c>
    </row>
    <row r="811" spans="1:6" x14ac:dyDescent="0.15">
      <c r="A811" s="1" t="s">
        <v>11959</v>
      </c>
      <c r="B811" s="1"/>
      <c r="C811" s="1" t="s">
        <v>11958</v>
      </c>
      <c r="D811" s="1">
        <v>2021</v>
      </c>
      <c r="E811" s="1" t="s">
        <v>11963</v>
      </c>
      <c r="F811" s="1">
        <v>33454965</v>
      </c>
    </row>
    <row r="812" spans="1:6" x14ac:dyDescent="0.15">
      <c r="A812" s="1" t="s">
        <v>11965</v>
      </c>
      <c r="B812" s="1"/>
      <c r="C812" s="1" t="s">
        <v>11964</v>
      </c>
      <c r="D812" s="1">
        <v>2019</v>
      </c>
      <c r="E812" s="1" t="s">
        <v>11968</v>
      </c>
      <c r="F812" s="1">
        <v>30467990</v>
      </c>
    </row>
    <row r="813" spans="1:6" x14ac:dyDescent="0.15">
      <c r="A813" s="1" t="s">
        <v>11976</v>
      </c>
      <c r="B813" s="1"/>
      <c r="C813" s="1" t="s">
        <v>2941</v>
      </c>
      <c r="D813" s="1">
        <v>2019</v>
      </c>
      <c r="E813" s="1" t="s">
        <v>2953</v>
      </c>
      <c r="F813" s="1">
        <v>31123713</v>
      </c>
    </row>
    <row r="814" spans="1:6" x14ac:dyDescent="0.15">
      <c r="A814" s="1" t="s">
        <v>11986</v>
      </c>
      <c r="B814" s="1"/>
      <c r="C814" s="1" t="s">
        <v>11985</v>
      </c>
      <c r="D814" s="1">
        <v>2020</v>
      </c>
      <c r="E814" s="1" t="s">
        <v>11989</v>
      </c>
      <c r="F814" s="1">
        <v>32447063</v>
      </c>
    </row>
    <row r="815" spans="1:6" x14ac:dyDescent="0.15">
      <c r="A815" s="1" t="s">
        <v>11995</v>
      </c>
      <c r="B815" s="1"/>
      <c r="C815" s="1" t="s">
        <v>11994</v>
      </c>
      <c r="D815" s="1">
        <v>2018</v>
      </c>
      <c r="E815" s="1" t="s">
        <v>11999</v>
      </c>
      <c r="F815" s="1">
        <v>29701682</v>
      </c>
    </row>
    <row r="816" spans="1:6" x14ac:dyDescent="0.15">
      <c r="A816" s="1" t="s">
        <v>12007</v>
      </c>
      <c r="B816" s="1"/>
      <c r="C816" s="1" t="s">
        <v>12006</v>
      </c>
      <c r="D816" s="1">
        <v>2016</v>
      </c>
      <c r="E816" s="1" t="s">
        <v>12012</v>
      </c>
      <c r="F816" s="1">
        <v>27293190</v>
      </c>
    </row>
    <row r="817" spans="1:6" x14ac:dyDescent="0.15">
      <c r="A817" s="1" t="s">
        <v>12014</v>
      </c>
      <c r="B817" s="1"/>
      <c r="C817" s="1" t="s">
        <v>12013</v>
      </c>
      <c r="D817" s="1">
        <v>2021</v>
      </c>
      <c r="E817" s="1" t="s">
        <v>12018</v>
      </c>
      <c r="F817" s="1">
        <v>34135428</v>
      </c>
    </row>
    <row r="818" spans="1:6" x14ac:dyDescent="0.15">
      <c r="A818" s="1" t="s">
        <v>12043</v>
      </c>
      <c r="B818" s="1"/>
      <c r="C818" s="1" t="s">
        <v>12042</v>
      </c>
      <c r="D818" s="1">
        <v>2016</v>
      </c>
      <c r="E818" s="1" t="s">
        <v>12047</v>
      </c>
      <c r="F818" s="1">
        <v>26973197</v>
      </c>
    </row>
    <row r="819" spans="1:6" x14ac:dyDescent="0.15">
      <c r="A819" s="1" t="s">
        <v>12049</v>
      </c>
      <c r="B819" s="1"/>
      <c r="C819" s="1" t="s">
        <v>12048</v>
      </c>
      <c r="D819" s="1">
        <v>2019</v>
      </c>
      <c r="E819" s="1" t="s">
        <v>12053</v>
      </c>
      <c r="F819" s="1">
        <v>31581745</v>
      </c>
    </row>
    <row r="820" spans="1:6" x14ac:dyDescent="0.15">
      <c r="A820" s="1" t="s">
        <v>12065</v>
      </c>
      <c r="B820" s="1"/>
      <c r="C820" s="1" t="s">
        <v>12064</v>
      </c>
      <c r="D820" s="1">
        <v>2021</v>
      </c>
      <c r="E820" s="1" t="s">
        <v>12069</v>
      </c>
      <c r="F820" s="1">
        <v>33819778</v>
      </c>
    </row>
    <row r="821" spans="1:6" x14ac:dyDescent="0.15">
      <c r="A821" s="1" t="s">
        <v>12080</v>
      </c>
      <c r="B821" s="1"/>
      <c r="C821" s="1" t="s">
        <v>12079</v>
      </c>
      <c r="D821" s="1">
        <v>2018</v>
      </c>
      <c r="E821" s="1" t="s">
        <v>12085</v>
      </c>
      <c r="F821" s="1">
        <v>29051321</v>
      </c>
    </row>
    <row r="822" spans="1:6" x14ac:dyDescent="0.15">
      <c r="A822" s="1" t="s">
        <v>12102</v>
      </c>
      <c r="B822" s="1"/>
      <c r="C822" s="1" t="s">
        <v>12101</v>
      </c>
      <c r="D822" s="1">
        <v>2022</v>
      </c>
      <c r="E822" s="1" t="s">
        <v>12105</v>
      </c>
      <c r="F822" s="1">
        <v>35467282</v>
      </c>
    </row>
    <row r="823" spans="1:6" x14ac:dyDescent="0.15">
      <c r="A823" s="1" t="s">
        <v>12107</v>
      </c>
      <c r="B823" s="1"/>
      <c r="C823" s="1" t="s">
        <v>12106</v>
      </c>
      <c r="D823" s="1">
        <v>2021</v>
      </c>
      <c r="E823" s="1" t="s">
        <v>12112</v>
      </c>
      <c r="F823" s="1">
        <v>34229724</v>
      </c>
    </row>
    <row r="824" spans="1:6" x14ac:dyDescent="0.15">
      <c r="A824" s="1" t="s">
        <v>12118</v>
      </c>
      <c r="B824" s="1"/>
      <c r="C824" s="1" t="s">
        <v>12117</v>
      </c>
      <c r="D824" s="1">
        <v>2016</v>
      </c>
      <c r="E824" s="1" t="s">
        <v>12122</v>
      </c>
      <c r="F824" s="1">
        <v>27351774</v>
      </c>
    </row>
    <row r="825" spans="1:6" x14ac:dyDescent="0.15">
      <c r="A825" s="1" t="s">
        <v>12128</v>
      </c>
      <c r="B825" s="1"/>
      <c r="C825" s="1" t="s">
        <v>12127</v>
      </c>
      <c r="D825" s="1">
        <v>2020</v>
      </c>
      <c r="E825" s="1" t="s">
        <v>12133</v>
      </c>
      <c r="F825" s="1">
        <v>32020194</v>
      </c>
    </row>
    <row r="826" spans="1:6" x14ac:dyDescent="0.15">
      <c r="A826" s="1" t="s">
        <v>12135</v>
      </c>
      <c r="B826" s="1"/>
      <c r="C826" s="1" t="s">
        <v>12134</v>
      </c>
      <c r="D826" s="1">
        <v>2020</v>
      </c>
      <c r="E826" s="1" t="s">
        <v>12139</v>
      </c>
      <c r="F826" s="1">
        <v>32471033</v>
      </c>
    </row>
    <row r="827" spans="1:6" x14ac:dyDescent="0.15">
      <c r="A827" s="1" t="s">
        <v>12141</v>
      </c>
      <c r="B827" s="1"/>
      <c r="C827" s="1" t="s">
        <v>12140</v>
      </c>
      <c r="D827" s="1">
        <v>2021</v>
      </c>
      <c r="E827" s="1" t="s">
        <v>12145</v>
      </c>
      <c r="F827" s="1">
        <v>33403678</v>
      </c>
    </row>
    <row r="828" spans="1:6" x14ac:dyDescent="0.15">
      <c r="A828" s="1" t="s">
        <v>12163</v>
      </c>
      <c r="B828" s="1"/>
      <c r="C828" s="1" t="s">
        <v>12162</v>
      </c>
      <c r="D828" s="1">
        <v>2020</v>
      </c>
      <c r="E828" s="1" t="s">
        <v>12168</v>
      </c>
      <c r="F828" s="1">
        <v>32574550</v>
      </c>
    </row>
    <row r="829" spans="1:6" x14ac:dyDescent="0.15">
      <c r="A829" s="1" t="s">
        <v>12170</v>
      </c>
      <c r="B829" s="1"/>
      <c r="C829" s="1" t="s">
        <v>12169</v>
      </c>
      <c r="D829" s="1">
        <v>2019</v>
      </c>
      <c r="E829" s="1" t="s">
        <v>12174</v>
      </c>
      <c r="F829" s="1">
        <v>31143191</v>
      </c>
    </row>
    <row r="830" spans="1:6" x14ac:dyDescent="0.15">
      <c r="A830" s="1" t="s">
        <v>12202</v>
      </c>
      <c r="B830" s="1"/>
      <c r="C830" s="1" t="s">
        <v>12201</v>
      </c>
      <c r="D830" s="1">
        <v>1989</v>
      </c>
      <c r="E830" s="1" t="s">
        <v>12206</v>
      </c>
      <c r="F830" s="1">
        <v>2655710</v>
      </c>
    </row>
    <row r="831" spans="1:6" x14ac:dyDescent="0.15">
      <c r="A831" s="1" t="s">
        <v>12220</v>
      </c>
      <c r="B831" s="1"/>
      <c r="C831" s="1" t="s">
        <v>12219</v>
      </c>
      <c r="D831" s="1">
        <v>2019</v>
      </c>
      <c r="E831" s="1" t="s">
        <v>12223</v>
      </c>
      <c r="F831" s="1">
        <v>30499000</v>
      </c>
    </row>
    <row r="832" spans="1:6" x14ac:dyDescent="0.15">
      <c r="A832" s="1" t="s">
        <v>12246</v>
      </c>
      <c r="B832" s="1"/>
      <c r="C832" s="1" t="s">
        <v>12245</v>
      </c>
      <c r="D832" s="1">
        <v>2020</v>
      </c>
      <c r="E832" s="1" t="s">
        <v>12249</v>
      </c>
      <c r="F832" s="1">
        <v>32706245</v>
      </c>
    </row>
    <row r="833" spans="1:6" x14ac:dyDescent="0.15">
      <c r="A833" s="1" t="s">
        <v>12251</v>
      </c>
      <c r="B833" s="1"/>
      <c r="C833" s="1" t="s">
        <v>12250</v>
      </c>
      <c r="D833" s="1">
        <v>2018</v>
      </c>
      <c r="E833" s="1" t="s">
        <v>12254</v>
      </c>
      <c r="F833" s="1">
        <v>30234974</v>
      </c>
    </row>
    <row r="834" spans="1:6" x14ac:dyDescent="0.15">
      <c r="A834" s="1" t="s">
        <v>12256</v>
      </c>
      <c r="B834" s="1"/>
      <c r="C834" s="1" t="s">
        <v>12255</v>
      </c>
      <c r="D834" s="1">
        <v>2016</v>
      </c>
      <c r="E834" s="1" t="s">
        <v>12260</v>
      </c>
      <c r="F834" s="1">
        <v>27179617</v>
      </c>
    </row>
    <row r="835" spans="1:6" x14ac:dyDescent="0.15">
      <c r="A835" s="1" t="s">
        <v>12262</v>
      </c>
      <c r="B835" s="1"/>
      <c r="C835" s="1" t="s">
        <v>12261</v>
      </c>
      <c r="D835" s="1">
        <v>2019</v>
      </c>
      <c r="E835" s="1" t="s">
        <v>12268</v>
      </c>
      <c r="F835" s="1">
        <v>31160785</v>
      </c>
    </row>
    <row r="836" spans="1:6" x14ac:dyDescent="0.15">
      <c r="A836" s="1" t="s">
        <v>12278</v>
      </c>
      <c r="B836" s="1"/>
      <c r="C836" s="1" t="s">
        <v>12277</v>
      </c>
      <c r="D836" s="1">
        <v>2021</v>
      </c>
      <c r="E836" s="1" t="s">
        <v>12282</v>
      </c>
      <c r="F836" s="1">
        <v>35590205</v>
      </c>
    </row>
    <row r="837" spans="1:6" x14ac:dyDescent="0.15">
      <c r="A837" s="1" t="s">
        <v>12292</v>
      </c>
      <c r="B837" s="1"/>
      <c r="C837" s="1" t="s">
        <v>12291</v>
      </c>
      <c r="D837" s="1">
        <v>2018</v>
      </c>
      <c r="E837" s="1" t="s">
        <v>12296</v>
      </c>
      <c r="F837" s="1">
        <v>29593276</v>
      </c>
    </row>
    <row r="838" spans="1:6" x14ac:dyDescent="0.15">
      <c r="A838" s="1" t="s">
        <v>12311</v>
      </c>
      <c r="B838" s="1"/>
      <c r="C838" s="1" t="s">
        <v>12310</v>
      </c>
      <c r="D838" s="1">
        <v>2011</v>
      </c>
      <c r="E838" s="1" t="s">
        <v>12315</v>
      </c>
      <c r="F838" s="1">
        <v>21172122</v>
      </c>
    </row>
    <row r="839" spans="1:6" x14ac:dyDescent="0.15">
      <c r="A839" s="1" t="s">
        <v>12321</v>
      </c>
      <c r="B839" s="1"/>
      <c r="C839" s="1" t="s">
        <v>12320</v>
      </c>
      <c r="D839" s="1">
        <v>2018</v>
      </c>
      <c r="E839" s="1" t="s">
        <v>12325</v>
      </c>
      <c r="F839" s="1">
        <v>28774835</v>
      </c>
    </row>
    <row r="840" spans="1:6" x14ac:dyDescent="0.15">
      <c r="A840" s="1" t="s">
        <v>12327</v>
      </c>
      <c r="B840" s="1"/>
      <c r="C840" s="1" t="s">
        <v>12326</v>
      </c>
      <c r="D840" s="1">
        <v>2021</v>
      </c>
      <c r="E840" s="1" t="s">
        <v>12330</v>
      </c>
      <c r="F840" s="1">
        <v>34747596</v>
      </c>
    </row>
    <row r="841" spans="1:6" x14ac:dyDescent="0.15">
      <c r="A841" s="1" t="s">
        <v>12345</v>
      </c>
      <c r="B841" s="1"/>
      <c r="C841" s="1" t="s">
        <v>12344</v>
      </c>
      <c r="D841" s="1">
        <v>2020</v>
      </c>
      <c r="E841" s="1" t="s">
        <v>12348</v>
      </c>
      <c r="F841" s="1">
        <v>32867502</v>
      </c>
    </row>
    <row r="842" spans="1:6" x14ac:dyDescent="0.15">
      <c r="A842" s="1" t="s">
        <v>12349</v>
      </c>
      <c r="B842" s="1"/>
      <c r="C842" s="1" t="s">
        <v>10185</v>
      </c>
      <c r="D842" s="1">
        <v>2019</v>
      </c>
      <c r="E842" s="1" t="s">
        <v>10196</v>
      </c>
      <c r="F842" s="1">
        <v>30760538</v>
      </c>
    </row>
    <row r="843" spans="1:6" x14ac:dyDescent="0.15">
      <c r="A843" s="1" t="s">
        <v>12355</v>
      </c>
      <c r="B843" s="1"/>
      <c r="C843" s="1" t="s">
        <v>12354</v>
      </c>
      <c r="D843" s="1">
        <v>2019</v>
      </c>
      <c r="E843" s="1" t="s">
        <v>12358</v>
      </c>
      <c r="F843" s="1">
        <v>31495861</v>
      </c>
    </row>
    <row r="844" spans="1:6" x14ac:dyDescent="0.15">
      <c r="A844" s="1" t="s">
        <v>12368</v>
      </c>
      <c r="B844" s="1"/>
      <c r="C844" s="1" t="s">
        <v>12367</v>
      </c>
      <c r="D844" s="1">
        <v>2020</v>
      </c>
      <c r="E844" s="1" t="s">
        <v>12371</v>
      </c>
      <c r="F844" s="1">
        <v>33025277</v>
      </c>
    </row>
    <row r="845" spans="1:6" x14ac:dyDescent="0.15">
      <c r="A845" s="1" t="s">
        <v>12375</v>
      </c>
      <c r="B845" s="1"/>
      <c r="C845" s="1" t="s">
        <v>12374</v>
      </c>
      <c r="D845" s="1">
        <v>2022</v>
      </c>
      <c r="E845" s="1" t="s">
        <v>12379</v>
      </c>
      <c r="F845" s="1">
        <v>35830762</v>
      </c>
    </row>
    <row r="846" spans="1:6" x14ac:dyDescent="0.15">
      <c r="A846" s="1" t="s">
        <v>12381</v>
      </c>
      <c r="B846" s="1"/>
      <c r="C846" s="1" t="s">
        <v>12380</v>
      </c>
      <c r="D846" s="1">
        <v>2019</v>
      </c>
      <c r="E846" s="1" t="s">
        <v>12386</v>
      </c>
      <c r="F846" s="1">
        <v>31322581</v>
      </c>
    </row>
    <row r="847" spans="1:6" x14ac:dyDescent="0.15">
      <c r="A847" s="1" t="s">
        <v>12417</v>
      </c>
      <c r="B847" s="1"/>
      <c r="C847" s="1" t="s">
        <v>12416</v>
      </c>
      <c r="D847" s="1">
        <v>2022</v>
      </c>
      <c r="E847" s="1" t="s">
        <v>12421</v>
      </c>
      <c r="F847" s="1">
        <v>35538484</v>
      </c>
    </row>
    <row r="848" spans="1:6" x14ac:dyDescent="0.15">
      <c r="A848" s="1" t="s">
        <v>12423</v>
      </c>
      <c r="B848" s="1"/>
      <c r="C848" s="1" t="s">
        <v>12422</v>
      </c>
      <c r="D848" s="1">
        <v>2020</v>
      </c>
      <c r="E848" s="1" t="s">
        <v>12426</v>
      </c>
      <c r="F848" s="1">
        <v>32444558</v>
      </c>
    </row>
    <row r="849" spans="1:6" x14ac:dyDescent="0.15">
      <c r="A849" s="1" t="s">
        <v>12440</v>
      </c>
      <c r="B849" s="1"/>
      <c r="C849" s="1" t="s">
        <v>12439</v>
      </c>
      <c r="D849" s="1">
        <v>2018</v>
      </c>
      <c r="E849" s="1" t="s">
        <v>12444</v>
      </c>
      <c r="F849" s="1">
        <v>29747217</v>
      </c>
    </row>
    <row r="850" spans="1:6" x14ac:dyDescent="0.15">
      <c r="A850" s="1" t="s">
        <v>12446</v>
      </c>
      <c r="B850" s="1"/>
      <c r="C850" s="1" t="s">
        <v>12445</v>
      </c>
      <c r="D850" s="1">
        <v>2016</v>
      </c>
      <c r="E850" s="1" t="s">
        <v>12450</v>
      </c>
      <c r="F850" s="1">
        <v>26409934</v>
      </c>
    </row>
    <row r="851" spans="1:6" x14ac:dyDescent="0.15">
      <c r="A851" s="1" t="s">
        <v>12479</v>
      </c>
      <c r="B851" s="1"/>
      <c r="C851" s="1" t="s">
        <v>12478</v>
      </c>
      <c r="D851" s="1">
        <v>2022</v>
      </c>
      <c r="E851" s="1" t="s">
        <v>12484</v>
      </c>
      <c r="F851" s="1">
        <v>34365576</v>
      </c>
    </row>
    <row r="852" spans="1:6" x14ac:dyDescent="0.15">
      <c r="A852" s="1" t="s">
        <v>12486</v>
      </c>
      <c r="B852" s="1"/>
      <c r="C852" s="1" t="s">
        <v>12485</v>
      </c>
      <c r="D852" s="1">
        <v>2007</v>
      </c>
      <c r="E852" s="1" t="s">
        <v>12490</v>
      </c>
      <c r="F852" s="1">
        <v>17187173</v>
      </c>
    </row>
    <row r="853" spans="1:6" x14ac:dyDescent="0.15">
      <c r="A853" s="1" t="s">
        <v>12492</v>
      </c>
      <c r="B853" s="1"/>
      <c r="C853" s="1" t="s">
        <v>12491</v>
      </c>
      <c r="D853" s="1">
        <v>2011</v>
      </c>
      <c r="E853" s="1" t="s">
        <v>12497</v>
      </c>
      <c r="F853" s="1">
        <v>22025668</v>
      </c>
    </row>
    <row r="854" spans="1:6" x14ac:dyDescent="0.15">
      <c r="A854" s="1" t="s">
        <v>12499</v>
      </c>
      <c r="B854" s="1"/>
      <c r="C854" s="1" t="s">
        <v>12498</v>
      </c>
      <c r="D854" s="1">
        <v>2019</v>
      </c>
      <c r="E854" s="1" t="s">
        <v>12503</v>
      </c>
      <c r="F854" s="1">
        <v>31311428</v>
      </c>
    </row>
    <row r="855" spans="1:6" x14ac:dyDescent="0.15">
      <c r="A855" s="1" t="s">
        <v>12505</v>
      </c>
      <c r="B855" s="1"/>
      <c r="C855" s="1" t="s">
        <v>12504</v>
      </c>
      <c r="D855" s="1">
        <v>2011</v>
      </c>
      <c r="E855" s="1" t="s">
        <v>12508</v>
      </c>
      <c r="F855" s="1">
        <v>21616097</v>
      </c>
    </row>
    <row r="856" spans="1:6" x14ac:dyDescent="0.15">
      <c r="A856" s="1" t="s">
        <v>12510</v>
      </c>
      <c r="B856" s="1"/>
      <c r="C856" s="1" t="s">
        <v>12509</v>
      </c>
      <c r="D856" s="1">
        <v>2013</v>
      </c>
      <c r="E856" s="1" t="s">
        <v>12514</v>
      </c>
      <c r="F856" s="1">
        <v>23774836</v>
      </c>
    </row>
    <row r="857" spans="1:6" x14ac:dyDescent="0.15">
      <c r="A857" s="1" t="s">
        <v>12516</v>
      </c>
      <c r="B857" s="1"/>
      <c r="C857" s="1" t="s">
        <v>12515</v>
      </c>
      <c r="D857" s="1">
        <v>2019</v>
      </c>
      <c r="E857" s="1" t="s">
        <v>12521</v>
      </c>
      <c r="F857" s="1">
        <v>31331349</v>
      </c>
    </row>
    <row r="858" spans="1:6" x14ac:dyDescent="0.15">
      <c r="A858" s="1" t="s">
        <v>12523</v>
      </c>
      <c r="B858" s="1"/>
      <c r="C858" s="1" t="s">
        <v>12522</v>
      </c>
      <c r="D858" s="1">
        <v>2018</v>
      </c>
      <c r="E858" s="1" t="s">
        <v>12527</v>
      </c>
      <c r="F858" s="1">
        <v>30301925</v>
      </c>
    </row>
    <row r="859" spans="1:6" x14ac:dyDescent="0.15">
      <c r="A859" s="1" t="s">
        <v>12537</v>
      </c>
      <c r="B859" s="1"/>
      <c r="C859" s="1" t="s">
        <v>12536</v>
      </c>
      <c r="D859" s="1">
        <v>2011</v>
      </c>
      <c r="E859" s="1"/>
      <c r="F859" s="1">
        <v>22100842</v>
      </c>
    </row>
    <row r="860" spans="1:6" x14ac:dyDescent="0.15">
      <c r="A860" s="1" t="s">
        <v>12542</v>
      </c>
      <c r="B860" s="1"/>
      <c r="C860" s="1" t="s">
        <v>12541</v>
      </c>
      <c r="D860" s="1">
        <v>2011</v>
      </c>
      <c r="E860" s="1" t="s">
        <v>12547</v>
      </c>
      <c r="F860" s="1">
        <v>21102562</v>
      </c>
    </row>
    <row r="861" spans="1:6" x14ac:dyDescent="0.15">
      <c r="A861" s="1" t="s">
        <v>12549</v>
      </c>
      <c r="B861" s="1"/>
      <c r="C861" s="1" t="s">
        <v>12548</v>
      </c>
      <c r="D861" s="1">
        <v>2015</v>
      </c>
      <c r="E861" s="1" t="s">
        <v>12554</v>
      </c>
      <c r="F861" s="1">
        <v>25945690</v>
      </c>
    </row>
    <row r="862" spans="1:6" x14ac:dyDescent="0.15">
      <c r="A862" s="1" t="s">
        <v>12561</v>
      </c>
      <c r="B862" s="1"/>
      <c r="C862" s="1" t="s">
        <v>12560</v>
      </c>
      <c r="D862" s="1">
        <v>2012</v>
      </c>
      <c r="E862" s="1" t="s">
        <v>12565</v>
      </c>
      <c r="F862" s="1">
        <v>22315426</v>
      </c>
    </row>
    <row r="863" spans="1:6" x14ac:dyDescent="0.15">
      <c r="A863" s="1" t="s">
        <v>12567</v>
      </c>
      <c r="B863" s="1"/>
      <c r="C863" s="1" t="s">
        <v>12566</v>
      </c>
      <c r="D863" s="1">
        <v>2019</v>
      </c>
      <c r="E863" s="1" t="s">
        <v>12570</v>
      </c>
      <c r="F863" s="1">
        <v>30412280</v>
      </c>
    </row>
    <row r="864" spans="1:6" x14ac:dyDescent="0.15">
      <c r="A864" s="1" t="s">
        <v>12572</v>
      </c>
      <c r="B864" s="1"/>
      <c r="C864" s="1" t="s">
        <v>12571</v>
      </c>
      <c r="D864" s="1">
        <v>2015</v>
      </c>
      <c r="E864" s="1" t="s">
        <v>12576</v>
      </c>
      <c r="F864" s="1">
        <v>25955720</v>
      </c>
    </row>
    <row r="865" spans="1:6" x14ac:dyDescent="0.15">
      <c r="A865" s="1" t="s">
        <v>12585</v>
      </c>
      <c r="B865" s="1"/>
      <c r="C865" s="1" t="s">
        <v>12584</v>
      </c>
      <c r="D865" s="1">
        <v>2005</v>
      </c>
      <c r="E865" s="1"/>
      <c r="F865" s="1">
        <v>16240989</v>
      </c>
    </row>
    <row r="866" spans="1:6" x14ac:dyDescent="0.15">
      <c r="A866" s="1" t="s">
        <v>12590</v>
      </c>
      <c r="B866" s="1"/>
      <c r="C866" s="1" t="s">
        <v>12589</v>
      </c>
      <c r="D866" s="1">
        <v>2013</v>
      </c>
      <c r="E866" s="1" t="s">
        <v>12594</v>
      </c>
      <c r="F866" s="1">
        <v>24022222</v>
      </c>
    </row>
    <row r="867" spans="1:6" x14ac:dyDescent="0.15">
      <c r="A867" s="1" t="s">
        <v>12596</v>
      </c>
      <c r="B867" s="1"/>
      <c r="C867" s="1" t="s">
        <v>12595</v>
      </c>
      <c r="D867" s="1">
        <v>2014</v>
      </c>
      <c r="E867" s="1" t="s">
        <v>12601</v>
      </c>
      <c r="F867" s="1">
        <v>24487619</v>
      </c>
    </row>
    <row r="868" spans="1:6" x14ac:dyDescent="0.15">
      <c r="A868" s="1" t="s">
        <v>12603</v>
      </c>
      <c r="B868" s="1"/>
      <c r="C868" s="1" t="s">
        <v>12602</v>
      </c>
      <c r="D868" s="1">
        <v>2011</v>
      </c>
      <c r="E868" s="1" t="s">
        <v>12606</v>
      </c>
      <c r="F868" s="1">
        <v>21376534</v>
      </c>
    </row>
    <row r="869" spans="1:6" x14ac:dyDescent="0.15">
      <c r="A869" s="1" t="s">
        <v>12608</v>
      </c>
      <c r="B869" s="1"/>
      <c r="C869" s="1" t="s">
        <v>12607</v>
      </c>
      <c r="D869" s="1">
        <v>2020</v>
      </c>
      <c r="E869" s="1" t="s">
        <v>12611</v>
      </c>
      <c r="F869" s="1">
        <v>32004570</v>
      </c>
    </row>
    <row r="870" spans="1:6" x14ac:dyDescent="0.15">
      <c r="A870" s="1" t="s">
        <v>12621</v>
      </c>
      <c r="B870" s="1"/>
      <c r="C870" s="1" t="s">
        <v>12620</v>
      </c>
      <c r="D870" s="1">
        <v>2008</v>
      </c>
      <c r="E870" s="1" t="s">
        <v>12625</v>
      </c>
      <c r="F870" s="1">
        <v>18974299</v>
      </c>
    </row>
    <row r="871" spans="1:6" x14ac:dyDescent="0.15">
      <c r="A871" s="1" t="s">
        <v>12630</v>
      </c>
      <c r="B871" s="1"/>
      <c r="C871" s="1" t="s">
        <v>12629</v>
      </c>
      <c r="D871" s="1">
        <v>2014</v>
      </c>
      <c r="E871" s="1" t="s">
        <v>12633</v>
      </c>
      <c r="F871" s="1">
        <v>24816817</v>
      </c>
    </row>
    <row r="872" spans="1:6" x14ac:dyDescent="0.15">
      <c r="A872" s="1" t="s">
        <v>12635</v>
      </c>
      <c r="B872" s="1"/>
      <c r="C872" s="1" t="s">
        <v>12634</v>
      </c>
      <c r="D872" s="1">
        <v>2017</v>
      </c>
      <c r="E872" s="1" t="s">
        <v>12639</v>
      </c>
      <c r="F872" s="1">
        <v>28878382</v>
      </c>
    </row>
    <row r="873" spans="1:6" x14ac:dyDescent="0.15">
      <c r="A873" s="1" t="s">
        <v>12641</v>
      </c>
      <c r="B873" s="1"/>
      <c r="C873" s="1" t="s">
        <v>12640</v>
      </c>
      <c r="D873" s="1">
        <v>2013</v>
      </c>
      <c r="E873" s="1" t="s">
        <v>12646</v>
      </c>
      <c r="F873" s="1">
        <v>23303825</v>
      </c>
    </row>
    <row r="874" spans="1:6" x14ac:dyDescent="0.15">
      <c r="A874" s="1" t="s">
        <v>12648</v>
      </c>
      <c r="B874" s="1"/>
      <c r="C874" s="1" t="s">
        <v>12647</v>
      </c>
      <c r="D874" s="1">
        <v>2014</v>
      </c>
      <c r="E874" s="1" t="s">
        <v>12652</v>
      </c>
      <c r="F874" s="1">
        <v>23873874</v>
      </c>
    </row>
    <row r="875" spans="1:6" x14ac:dyDescent="0.15">
      <c r="A875" s="1" t="s">
        <v>12654</v>
      </c>
      <c r="B875" s="1"/>
      <c r="C875" s="1" t="s">
        <v>12653</v>
      </c>
      <c r="D875" s="1">
        <v>2019</v>
      </c>
      <c r="E875" s="1" t="s">
        <v>12658</v>
      </c>
      <c r="F875" s="1">
        <v>31262819</v>
      </c>
    </row>
    <row r="876" spans="1:6" x14ac:dyDescent="0.15">
      <c r="A876" s="1" t="s">
        <v>12660</v>
      </c>
      <c r="B876" s="1"/>
      <c r="C876" s="1" t="s">
        <v>12659</v>
      </c>
      <c r="D876" s="1">
        <v>2018</v>
      </c>
      <c r="E876" s="1" t="s">
        <v>12664</v>
      </c>
      <c r="F876" s="1">
        <v>30521613</v>
      </c>
    </row>
    <row r="877" spans="1:6" x14ac:dyDescent="0.15">
      <c r="A877" s="1" t="s">
        <v>12666</v>
      </c>
      <c r="B877" s="1"/>
      <c r="C877" s="1" t="s">
        <v>12665</v>
      </c>
      <c r="D877" s="1">
        <v>2013</v>
      </c>
      <c r="E877" s="1" t="s">
        <v>12671</v>
      </c>
      <c r="F877" s="1">
        <v>24245560</v>
      </c>
    </row>
    <row r="878" spans="1:6" x14ac:dyDescent="0.15">
      <c r="A878" s="1" t="s">
        <v>12676</v>
      </c>
      <c r="B878" s="1"/>
      <c r="C878" s="1" t="s">
        <v>12675</v>
      </c>
      <c r="D878" s="1">
        <v>2015</v>
      </c>
      <c r="E878" s="1" t="s">
        <v>12680</v>
      </c>
      <c r="F878" s="1">
        <v>26098692</v>
      </c>
    </row>
    <row r="879" spans="1:6" x14ac:dyDescent="0.15">
      <c r="A879" s="1" t="s">
        <v>12682</v>
      </c>
      <c r="B879" s="1"/>
      <c r="C879" s="1" t="s">
        <v>12681</v>
      </c>
      <c r="D879" s="1">
        <v>2020</v>
      </c>
      <c r="E879" s="1" t="s">
        <v>12687</v>
      </c>
      <c r="F879" s="1">
        <v>32343702</v>
      </c>
    </row>
    <row r="880" spans="1:6" x14ac:dyDescent="0.15">
      <c r="A880" s="1" t="s">
        <v>12698</v>
      </c>
      <c r="B880" s="1"/>
      <c r="C880" s="1" t="s">
        <v>12697</v>
      </c>
      <c r="D880" s="1">
        <v>2016</v>
      </c>
      <c r="E880" s="1" t="s">
        <v>12702</v>
      </c>
      <c r="F880" s="1">
        <v>26554030</v>
      </c>
    </row>
    <row r="881" spans="1:6" x14ac:dyDescent="0.15">
      <c r="A881" s="1" t="s">
        <v>12712</v>
      </c>
      <c r="B881" s="1"/>
      <c r="C881" s="1" t="s">
        <v>12711</v>
      </c>
      <c r="D881" s="1">
        <v>2010</v>
      </c>
      <c r="E881" s="1" t="s">
        <v>12717</v>
      </c>
      <c r="F881" s="1">
        <v>19940036</v>
      </c>
    </row>
    <row r="882" spans="1:6" x14ac:dyDescent="0.15">
      <c r="A882" s="1" t="s">
        <v>12725</v>
      </c>
      <c r="B882" s="1"/>
      <c r="C882" s="1" t="s">
        <v>12724</v>
      </c>
      <c r="D882" s="1">
        <v>2014</v>
      </c>
      <c r="E882" s="1" t="s">
        <v>12728</v>
      </c>
      <c r="F882" s="1">
        <v>25339697</v>
      </c>
    </row>
    <row r="883" spans="1:6" x14ac:dyDescent="0.15">
      <c r="A883" s="1" t="s">
        <v>12741</v>
      </c>
      <c r="B883" s="1"/>
      <c r="C883" s="1" t="s">
        <v>12740</v>
      </c>
      <c r="D883" s="1">
        <v>2013</v>
      </c>
      <c r="E883" s="1" t="s">
        <v>12745</v>
      </c>
      <c r="F883" s="1">
        <v>23483985</v>
      </c>
    </row>
    <row r="884" spans="1:6" x14ac:dyDescent="0.15">
      <c r="A884" s="1" t="s">
        <v>12751</v>
      </c>
      <c r="B884" s="1"/>
      <c r="C884" s="1" t="s">
        <v>12750</v>
      </c>
      <c r="D884" s="1">
        <v>2014</v>
      </c>
      <c r="E884" s="1" t="s">
        <v>12754</v>
      </c>
      <c r="F884" s="1">
        <v>24259003</v>
      </c>
    </row>
    <row r="885" spans="1:6" x14ac:dyDescent="0.15">
      <c r="A885" s="1" t="s">
        <v>12756</v>
      </c>
      <c r="B885" s="1"/>
      <c r="C885" s="1" t="s">
        <v>12755</v>
      </c>
      <c r="D885" s="1">
        <v>2007</v>
      </c>
      <c r="E885" s="1" t="s">
        <v>12760</v>
      </c>
      <c r="F885" s="1">
        <v>17448744</v>
      </c>
    </row>
    <row r="886" spans="1:6" x14ac:dyDescent="0.15">
      <c r="A886" s="1" t="s">
        <v>12762</v>
      </c>
      <c r="B886" s="1"/>
      <c r="C886" s="1" t="s">
        <v>12761</v>
      </c>
      <c r="D886" s="1">
        <v>2019</v>
      </c>
      <c r="E886" s="1" t="s">
        <v>12766</v>
      </c>
      <c r="F886" s="1">
        <v>30971101</v>
      </c>
    </row>
    <row r="887" spans="1:6" x14ac:dyDescent="0.15">
      <c r="A887" s="1" t="s">
        <v>12768</v>
      </c>
      <c r="B887" s="1"/>
      <c r="C887" s="1" t="s">
        <v>12767</v>
      </c>
      <c r="D887" s="1">
        <v>2012</v>
      </c>
      <c r="E887" s="1" t="s">
        <v>12772</v>
      </c>
      <c r="F887" s="1">
        <v>22074924</v>
      </c>
    </row>
    <row r="888" spans="1:6" x14ac:dyDescent="0.15">
      <c r="A888" s="1" t="s">
        <v>12778</v>
      </c>
      <c r="B888" s="1"/>
      <c r="C888" s="1" t="s">
        <v>12777</v>
      </c>
      <c r="D888" s="1">
        <v>2022</v>
      </c>
      <c r="E888" s="1" t="s">
        <v>12784</v>
      </c>
      <c r="F888" s="1">
        <v>35658009</v>
      </c>
    </row>
    <row r="889" spans="1:6" x14ac:dyDescent="0.15">
      <c r="A889" s="1" t="s">
        <v>12790</v>
      </c>
      <c r="B889" s="1"/>
      <c r="C889" s="1" t="s">
        <v>12789</v>
      </c>
      <c r="D889" s="1">
        <v>2018</v>
      </c>
      <c r="E889" s="1" t="s">
        <v>12793</v>
      </c>
      <c r="F889" s="1">
        <v>29357442</v>
      </c>
    </row>
    <row r="890" spans="1:6" x14ac:dyDescent="0.15">
      <c r="A890" s="1" t="s">
        <v>12799</v>
      </c>
      <c r="B890" s="1"/>
      <c r="C890" s="1" t="s">
        <v>12798</v>
      </c>
      <c r="D890" s="1">
        <v>2019</v>
      </c>
      <c r="E890" s="1" t="s">
        <v>12801</v>
      </c>
      <c r="F890" s="1">
        <v>31043377</v>
      </c>
    </row>
    <row r="891" spans="1:6" x14ac:dyDescent="0.15">
      <c r="A891" s="1" t="s">
        <v>12806</v>
      </c>
      <c r="B891" s="1"/>
      <c r="C891" s="1" t="s">
        <v>12805</v>
      </c>
      <c r="D891" s="1">
        <v>2017</v>
      </c>
      <c r="E891" s="1" t="s">
        <v>12810</v>
      </c>
      <c r="F891" s="1">
        <v>28592251</v>
      </c>
    </row>
    <row r="892" spans="1:6" x14ac:dyDescent="0.15">
      <c r="A892" s="1" t="s">
        <v>12816</v>
      </c>
      <c r="B892" s="1"/>
      <c r="C892" s="1" t="s">
        <v>12815</v>
      </c>
      <c r="D892" s="1">
        <v>2019</v>
      </c>
      <c r="E892" s="1" t="s">
        <v>12819</v>
      </c>
      <c r="F892" s="1">
        <v>31285775</v>
      </c>
    </row>
    <row r="893" spans="1:6" x14ac:dyDescent="0.15">
      <c r="A893" s="1" t="s">
        <v>12834</v>
      </c>
      <c r="B893" s="1"/>
      <c r="C893" s="1" t="s">
        <v>12833</v>
      </c>
      <c r="D893" s="1">
        <v>1982</v>
      </c>
      <c r="E893" s="1" t="s">
        <v>12838</v>
      </c>
      <c r="F893" s="1">
        <v>7077301</v>
      </c>
    </row>
    <row r="894" spans="1:6" x14ac:dyDescent="0.15">
      <c r="A894" s="1" t="s">
        <v>12840</v>
      </c>
      <c r="B894" s="1"/>
      <c r="C894" s="1" t="s">
        <v>12839</v>
      </c>
      <c r="D894" s="1">
        <v>2011</v>
      </c>
      <c r="E894" s="1" t="s">
        <v>12845</v>
      </c>
      <c r="F894" s="1">
        <v>21248205</v>
      </c>
    </row>
    <row r="895" spans="1:6" x14ac:dyDescent="0.15">
      <c r="A895" s="1" t="s">
        <v>12847</v>
      </c>
      <c r="B895" s="1"/>
      <c r="C895" s="1" t="s">
        <v>12846</v>
      </c>
      <c r="D895" s="1">
        <v>2012</v>
      </c>
      <c r="E895" s="1" t="s">
        <v>12850</v>
      </c>
      <c r="F895" s="1">
        <v>22504169</v>
      </c>
    </row>
    <row r="896" spans="1:6" x14ac:dyDescent="0.15">
      <c r="A896" s="1" t="s">
        <v>12852</v>
      </c>
      <c r="B896" s="1"/>
      <c r="C896" s="1" t="s">
        <v>12851</v>
      </c>
      <c r="D896" s="1">
        <v>2008</v>
      </c>
      <c r="E896" s="1" t="s">
        <v>12855</v>
      </c>
      <c r="F896" s="1">
        <v>18802920</v>
      </c>
    </row>
    <row r="897" spans="1:6" x14ac:dyDescent="0.15">
      <c r="A897" s="1" t="s">
        <v>12864</v>
      </c>
      <c r="B897" s="1"/>
      <c r="C897" s="1" t="s">
        <v>12863</v>
      </c>
      <c r="D897" s="1">
        <v>2003</v>
      </c>
      <c r="E897" s="1" t="s">
        <v>12867</v>
      </c>
      <c r="F897" s="1">
        <v>12885772</v>
      </c>
    </row>
    <row r="898" spans="1:6" x14ac:dyDescent="0.15">
      <c r="A898" s="1" t="s">
        <v>12869</v>
      </c>
      <c r="B898" s="1"/>
      <c r="C898" s="1" t="s">
        <v>12868</v>
      </c>
      <c r="D898" s="1">
        <v>2013</v>
      </c>
      <c r="E898" s="1" t="s">
        <v>12874</v>
      </c>
      <c r="F898" s="1">
        <v>23315742</v>
      </c>
    </row>
    <row r="899" spans="1:6" x14ac:dyDescent="0.15">
      <c r="A899" s="1" t="s">
        <v>12876</v>
      </c>
      <c r="B899" s="1"/>
      <c r="C899" s="1" t="s">
        <v>12875</v>
      </c>
      <c r="D899" s="1">
        <v>2004</v>
      </c>
      <c r="E899" s="1" t="s">
        <v>12880</v>
      </c>
      <c r="F899" s="1">
        <v>15136153</v>
      </c>
    </row>
    <row r="900" spans="1:6" x14ac:dyDescent="0.15">
      <c r="A900" s="1" t="s">
        <v>12882</v>
      </c>
      <c r="B900" s="1"/>
      <c r="C900" s="1" t="s">
        <v>12881</v>
      </c>
      <c r="D900" s="1">
        <v>2011</v>
      </c>
      <c r="E900" s="1" t="s">
        <v>12886</v>
      </c>
      <c r="F900" s="1">
        <v>20964628</v>
      </c>
    </row>
    <row r="901" spans="1:6" x14ac:dyDescent="0.15">
      <c r="A901" s="1" t="s">
        <v>12888</v>
      </c>
      <c r="B901" s="1"/>
      <c r="C901" s="1" t="s">
        <v>12887</v>
      </c>
      <c r="D901" s="1">
        <v>1992</v>
      </c>
      <c r="E901" s="1" t="s">
        <v>12892</v>
      </c>
      <c r="F901" s="1">
        <v>1418007</v>
      </c>
    </row>
    <row r="902" spans="1:6" x14ac:dyDescent="0.15">
      <c r="A902" s="1" t="s">
        <v>12894</v>
      </c>
      <c r="B902" s="1"/>
      <c r="C902" s="1" t="s">
        <v>12893</v>
      </c>
      <c r="D902" s="1">
        <v>2011</v>
      </c>
      <c r="E902" s="1" t="s">
        <v>12898</v>
      </c>
      <c r="F902" s="1">
        <v>22143786</v>
      </c>
    </row>
    <row r="903" spans="1:6" x14ac:dyDescent="0.15">
      <c r="A903" s="1" t="s">
        <v>12905</v>
      </c>
      <c r="B903" s="1"/>
      <c r="C903" s="1" t="s">
        <v>12904</v>
      </c>
      <c r="D903" s="1">
        <v>2012</v>
      </c>
      <c r="E903" s="1" t="s">
        <v>12909</v>
      </c>
      <c r="F903" s="1">
        <v>22701748</v>
      </c>
    </row>
    <row r="904" spans="1:6" x14ac:dyDescent="0.15">
      <c r="A904" s="1" t="s">
        <v>12911</v>
      </c>
      <c r="B904" s="1"/>
      <c r="C904" s="1" t="s">
        <v>12910</v>
      </c>
      <c r="D904" s="1">
        <v>2022</v>
      </c>
      <c r="E904" s="1" t="s">
        <v>12914</v>
      </c>
      <c r="F904" s="1">
        <v>35323012</v>
      </c>
    </row>
    <row r="905" spans="1:6" x14ac:dyDescent="0.15">
      <c r="A905" s="1" t="s">
        <v>12916</v>
      </c>
      <c r="B905" s="1"/>
      <c r="C905" s="1" t="s">
        <v>12915</v>
      </c>
      <c r="D905" s="1">
        <v>2019</v>
      </c>
      <c r="E905" s="1" t="s">
        <v>12919</v>
      </c>
      <c r="F905" s="1">
        <v>31138886</v>
      </c>
    </row>
    <row r="906" spans="1:6" x14ac:dyDescent="0.15">
      <c r="A906" s="1" t="s">
        <v>12930</v>
      </c>
      <c r="B906" s="1"/>
      <c r="C906" s="1" t="s">
        <v>12929</v>
      </c>
      <c r="D906" s="1">
        <v>2014</v>
      </c>
      <c r="E906" s="1" t="s">
        <v>12934</v>
      </c>
      <c r="F906" s="1">
        <v>24933019</v>
      </c>
    </row>
    <row r="907" spans="1:6" x14ac:dyDescent="0.15">
      <c r="A907" s="1" t="s">
        <v>12936</v>
      </c>
      <c r="B907" s="1"/>
      <c r="C907" s="1" t="s">
        <v>12935</v>
      </c>
      <c r="D907" s="1">
        <v>2012</v>
      </c>
      <c r="E907" s="1" t="s">
        <v>12939</v>
      </c>
      <c r="F907" s="1">
        <v>22505472</v>
      </c>
    </row>
    <row r="908" spans="1:6" x14ac:dyDescent="0.15">
      <c r="A908" s="1" t="s">
        <v>12954</v>
      </c>
      <c r="B908" s="1"/>
      <c r="C908" s="1" t="s">
        <v>12953</v>
      </c>
      <c r="D908" s="1">
        <v>2018</v>
      </c>
      <c r="E908" s="1" t="s">
        <v>12959</v>
      </c>
      <c r="F908" s="1">
        <v>29648974</v>
      </c>
    </row>
    <row r="909" spans="1:6" x14ac:dyDescent="0.15">
      <c r="A909" s="1" t="s">
        <v>12961</v>
      </c>
      <c r="B909" s="1"/>
      <c r="C909" s="1" t="s">
        <v>12960</v>
      </c>
      <c r="D909" s="1">
        <v>2000</v>
      </c>
      <c r="E909" s="1" t="s">
        <v>12965</v>
      </c>
      <c r="F909" s="1">
        <v>10652961</v>
      </c>
    </row>
    <row r="910" spans="1:6" x14ac:dyDescent="0.15">
      <c r="A910" s="1" t="s">
        <v>12971</v>
      </c>
      <c r="B910" s="1"/>
      <c r="C910" s="1" t="s">
        <v>12970</v>
      </c>
      <c r="D910" s="1">
        <v>1994</v>
      </c>
      <c r="E910" s="1"/>
      <c r="F910" s="1">
        <v>7961777</v>
      </c>
    </row>
    <row r="911" spans="1:6" x14ac:dyDescent="0.15">
      <c r="A911" s="1" t="s">
        <v>12975</v>
      </c>
      <c r="B911" s="1"/>
      <c r="C911" s="1" t="s">
        <v>12974</v>
      </c>
      <c r="D911" s="1">
        <v>2022</v>
      </c>
      <c r="E911" s="1" t="s">
        <v>12980</v>
      </c>
      <c r="F911" s="1">
        <v>35605028</v>
      </c>
    </row>
    <row r="912" spans="1:6" x14ac:dyDescent="0.15">
      <c r="A912" s="1" t="s">
        <v>12982</v>
      </c>
      <c r="B912" s="1"/>
      <c r="C912" s="1" t="s">
        <v>12981</v>
      </c>
      <c r="D912" s="1">
        <v>2019</v>
      </c>
      <c r="E912" s="1" t="s">
        <v>12986</v>
      </c>
      <c r="F912" s="1">
        <v>30346568</v>
      </c>
    </row>
    <row r="913" spans="1:6" x14ac:dyDescent="0.15">
      <c r="A913" s="1" t="s">
        <v>12988</v>
      </c>
      <c r="B913" s="1"/>
      <c r="C913" s="1" t="s">
        <v>12987</v>
      </c>
      <c r="D913" s="1">
        <v>2009</v>
      </c>
      <c r="E913" s="1" t="s">
        <v>12992</v>
      </c>
      <c r="F913" s="1">
        <v>19832990</v>
      </c>
    </row>
    <row r="914" spans="1:6" x14ac:dyDescent="0.15">
      <c r="A914" s="1" t="s">
        <v>12994</v>
      </c>
      <c r="B914" s="1"/>
      <c r="C914" s="1" t="s">
        <v>12993</v>
      </c>
      <c r="D914" s="1">
        <v>2014</v>
      </c>
      <c r="E914" s="1" t="s">
        <v>12998</v>
      </c>
      <c r="F914" s="1">
        <v>24211404</v>
      </c>
    </row>
    <row r="915" spans="1:6" x14ac:dyDescent="0.15">
      <c r="A915" s="1" t="s">
        <v>13000</v>
      </c>
      <c r="B915" s="1"/>
      <c r="C915" s="1" t="s">
        <v>12999</v>
      </c>
      <c r="D915" s="1">
        <v>2013</v>
      </c>
      <c r="E915" s="1" t="s">
        <v>13004</v>
      </c>
      <c r="F915" s="1">
        <v>23182441</v>
      </c>
    </row>
    <row r="916" spans="1:6" x14ac:dyDescent="0.15">
      <c r="A916" s="1" t="s">
        <v>13011</v>
      </c>
      <c r="B916" s="1"/>
      <c r="C916" s="1" t="s">
        <v>13010</v>
      </c>
      <c r="D916" s="1">
        <v>2019</v>
      </c>
      <c r="E916" s="1" t="s">
        <v>13016</v>
      </c>
      <c r="F916" s="1">
        <v>31074077</v>
      </c>
    </row>
    <row r="917" spans="1:6" x14ac:dyDescent="0.15">
      <c r="A917" s="1" t="s">
        <v>13018</v>
      </c>
      <c r="B917" s="1"/>
      <c r="C917" s="1" t="s">
        <v>13017</v>
      </c>
      <c r="D917" s="1">
        <v>2012</v>
      </c>
      <c r="E917" s="1" t="s">
        <v>13022</v>
      </c>
      <c r="F917" s="1">
        <v>23284625</v>
      </c>
    </row>
    <row r="918" spans="1:6" x14ac:dyDescent="0.15">
      <c r="A918" s="1" t="s">
        <v>13035</v>
      </c>
      <c r="B918" s="1"/>
      <c r="C918" s="1" t="s">
        <v>13034</v>
      </c>
      <c r="D918" s="1">
        <v>2019</v>
      </c>
      <c r="E918" s="1" t="s">
        <v>13039</v>
      </c>
      <c r="F918" s="1">
        <v>31150422</v>
      </c>
    </row>
    <row r="919" spans="1:6" x14ac:dyDescent="0.15">
      <c r="A919" s="1" t="s">
        <v>13041</v>
      </c>
      <c r="B919" s="1"/>
      <c r="C919" s="1" t="s">
        <v>13040</v>
      </c>
      <c r="D919" s="1">
        <v>2022</v>
      </c>
      <c r="E919" s="1" t="s">
        <v>13045</v>
      </c>
      <c r="F919" s="1">
        <v>34907783</v>
      </c>
    </row>
    <row r="920" spans="1:6" x14ac:dyDescent="0.15">
      <c r="A920" s="1" t="s">
        <v>13047</v>
      </c>
      <c r="B920" s="1"/>
      <c r="C920" s="1" t="s">
        <v>13046</v>
      </c>
      <c r="D920" s="1">
        <v>2010</v>
      </c>
      <c r="E920" s="1" t="s">
        <v>13051</v>
      </c>
      <c r="F920" s="1">
        <v>20329788</v>
      </c>
    </row>
    <row r="921" spans="1:6" x14ac:dyDescent="0.15">
      <c r="A921" s="1" t="s">
        <v>13053</v>
      </c>
      <c r="B921" s="1"/>
      <c r="C921" s="1" t="s">
        <v>13052</v>
      </c>
      <c r="D921" s="1">
        <v>1994</v>
      </c>
      <c r="E921" s="1" t="s">
        <v>13056</v>
      </c>
      <c r="F921" s="1">
        <v>7945469</v>
      </c>
    </row>
    <row r="922" spans="1:6" x14ac:dyDescent="0.15">
      <c r="A922" s="1" t="s">
        <v>13067</v>
      </c>
      <c r="B922" s="1"/>
      <c r="C922" s="1" t="s">
        <v>13066</v>
      </c>
      <c r="D922" s="1">
        <v>2004</v>
      </c>
      <c r="E922" s="1" t="s">
        <v>13070</v>
      </c>
      <c r="F922" s="1">
        <v>15031288</v>
      </c>
    </row>
    <row r="923" spans="1:6" x14ac:dyDescent="0.15">
      <c r="A923" s="1" t="s">
        <v>13072</v>
      </c>
      <c r="B923" s="1"/>
      <c r="C923" s="1" t="s">
        <v>13071</v>
      </c>
      <c r="D923" s="1">
        <v>2017</v>
      </c>
      <c r="E923" s="1" t="s">
        <v>13078</v>
      </c>
      <c r="F923" s="1">
        <v>28392234</v>
      </c>
    </row>
    <row r="924" spans="1:6" x14ac:dyDescent="0.15">
      <c r="A924" s="1" t="s">
        <v>13080</v>
      </c>
      <c r="B924" s="1"/>
      <c r="C924" s="1" t="s">
        <v>13079</v>
      </c>
      <c r="D924" s="1">
        <v>2013</v>
      </c>
      <c r="E924" s="1" t="s">
        <v>13084</v>
      </c>
      <c r="F924" s="1">
        <v>23696541</v>
      </c>
    </row>
    <row r="925" spans="1:6" x14ac:dyDescent="0.15">
      <c r="A925" s="1" t="s">
        <v>13086</v>
      </c>
      <c r="B925" s="1"/>
      <c r="C925" s="1" t="s">
        <v>13085</v>
      </c>
      <c r="D925" s="1">
        <v>2006</v>
      </c>
      <c r="E925" s="1"/>
      <c r="F925" s="1">
        <v>16583463</v>
      </c>
    </row>
    <row r="926" spans="1:6" x14ac:dyDescent="0.15">
      <c r="A926" s="1" t="s">
        <v>13091</v>
      </c>
      <c r="B926" s="1"/>
      <c r="C926" s="1" t="s">
        <v>13090</v>
      </c>
      <c r="D926" s="1">
        <v>2022</v>
      </c>
      <c r="E926" s="1" t="s">
        <v>13096</v>
      </c>
      <c r="F926" s="1">
        <v>33734019</v>
      </c>
    </row>
    <row r="927" spans="1:6" x14ac:dyDescent="0.15">
      <c r="A927" s="1" t="s">
        <v>13098</v>
      </c>
      <c r="B927" s="1"/>
      <c r="C927" s="1" t="s">
        <v>13097</v>
      </c>
      <c r="D927" s="1">
        <v>2010</v>
      </c>
      <c r="E927" s="1" t="s">
        <v>13103</v>
      </c>
      <c r="F927" s="1">
        <v>20631136</v>
      </c>
    </row>
    <row r="928" spans="1:6" x14ac:dyDescent="0.15">
      <c r="A928" s="1" t="s">
        <v>13105</v>
      </c>
      <c r="B928" s="1"/>
      <c r="C928" s="1" t="s">
        <v>13104</v>
      </c>
      <c r="D928" s="1">
        <v>1986</v>
      </c>
      <c r="E928" s="1" t="s">
        <v>13110</v>
      </c>
      <c r="F928" s="1">
        <v>3007532</v>
      </c>
    </row>
    <row r="929" spans="1:6" x14ac:dyDescent="0.15">
      <c r="A929" s="1" t="s">
        <v>13112</v>
      </c>
      <c r="B929" s="1"/>
      <c r="C929" s="1" t="s">
        <v>13111</v>
      </c>
      <c r="D929" s="1">
        <v>2022</v>
      </c>
      <c r="E929" s="1" t="s">
        <v>13116</v>
      </c>
      <c r="F929" s="1">
        <v>35605011</v>
      </c>
    </row>
    <row r="930" spans="1:6" x14ac:dyDescent="0.15">
      <c r="A930" s="1" t="s">
        <v>13118</v>
      </c>
      <c r="B930" s="1"/>
      <c r="C930" s="1" t="s">
        <v>13117</v>
      </c>
      <c r="D930" s="1">
        <v>2012</v>
      </c>
      <c r="E930" s="1" t="s">
        <v>10476</v>
      </c>
      <c r="F930" s="1">
        <v>22723882</v>
      </c>
    </row>
    <row r="931" spans="1:6" x14ac:dyDescent="0.15">
      <c r="A931" s="1" t="s">
        <v>13123</v>
      </c>
      <c r="B931" s="1"/>
      <c r="C931" s="1" t="s">
        <v>13122</v>
      </c>
      <c r="D931" s="1">
        <v>2012</v>
      </c>
      <c r="E931" s="1" t="s">
        <v>13126</v>
      </c>
      <c r="F931" s="1">
        <v>22238051</v>
      </c>
    </row>
    <row r="932" spans="1:6" x14ac:dyDescent="0.15">
      <c r="A932" s="1" t="s">
        <v>13136</v>
      </c>
      <c r="B932" s="1"/>
      <c r="C932" s="1" t="s">
        <v>13135</v>
      </c>
      <c r="D932" s="1">
        <v>2022</v>
      </c>
      <c r="E932" s="1" t="s">
        <v>13141</v>
      </c>
      <c r="F932" s="1">
        <v>35200555</v>
      </c>
    </row>
    <row r="933" spans="1:6" x14ac:dyDescent="0.15">
      <c r="A933" s="1" t="s">
        <v>13143</v>
      </c>
      <c r="B933" s="1"/>
      <c r="C933" s="1" t="s">
        <v>13142</v>
      </c>
      <c r="D933" s="1">
        <v>1998</v>
      </c>
      <c r="E933" s="1" t="s">
        <v>13147</v>
      </c>
      <c r="F933" s="1">
        <v>9668172</v>
      </c>
    </row>
    <row r="934" spans="1:6" x14ac:dyDescent="0.15">
      <c r="A934" s="1" t="s">
        <v>13152</v>
      </c>
      <c r="B934" s="1"/>
      <c r="C934" s="1" t="s">
        <v>13151</v>
      </c>
      <c r="D934" s="1">
        <v>2017</v>
      </c>
      <c r="E934" s="1" t="s">
        <v>13156</v>
      </c>
      <c r="F934" s="1">
        <v>28844893</v>
      </c>
    </row>
    <row r="935" spans="1:6" x14ac:dyDescent="0.15">
      <c r="A935" s="1" t="s">
        <v>13167</v>
      </c>
      <c r="B935" s="1"/>
      <c r="C935" s="1" t="s">
        <v>13166</v>
      </c>
      <c r="D935" s="1">
        <v>2015</v>
      </c>
      <c r="E935" s="1" t="s">
        <v>13170</v>
      </c>
      <c r="F935" s="1">
        <v>26246178</v>
      </c>
    </row>
    <row r="936" spans="1:6" x14ac:dyDescent="0.15">
      <c r="A936" s="1" t="s">
        <v>13172</v>
      </c>
      <c r="B936" s="1"/>
      <c r="C936" s="1" t="s">
        <v>13171</v>
      </c>
      <c r="D936" s="1">
        <v>2006</v>
      </c>
      <c r="E936" s="1" t="s">
        <v>13176</v>
      </c>
      <c r="F936" s="1">
        <v>16461938</v>
      </c>
    </row>
    <row r="937" spans="1:6" x14ac:dyDescent="0.15">
      <c r="A937" s="1" t="s">
        <v>13178</v>
      </c>
      <c r="B937" s="1"/>
      <c r="C937" s="1" t="s">
        <v>13177</v>
      </c>
      <c r="D937" s="1">
        <v>2022</v>
      </c>
      <c r="E937" s="1" t="s">
        <v>13181</v>
      </c>
      <c r="F937" s="1">
        <v>35275615</v>
      </c>
    </row>
    <row r="938" spans="1:6" x14ac:dyDescent="0.15">
      <c r="A938" s="1" t="s">
        <v>13192</v>
      </c>
      <c r="B938" s="1"/>
      <c r="C938" s="1" t="s">
        <v>13191</v>
      </c>
      <c r="D938" s="1">
        <v>2000</v>
      </c>
      <c r="E938" s="1" t="s">
        <v>13197</v>
      </c>
      <c r="F938" s="1">
        <v>11090220</v>
      </c>
    </row>
    <row r="939" spans="1:6" x14ac:dyDescent="0.15">
      <c r="A939" s="1" t="s">
        <v>13199</v>
      </c>
      <c r="B939" s="1"/>
      <c r="C939" s="1" t="s">
        <v>13198</v>
      </c>
      <c r="D939" s="1">
        <v>2000</v>
      </c>
      <c r="E939" s="1" t="s">
        <v>13203</v>
      </c>
      <c r="F939" s="1">
        <v>10772249</v>
      </c>
    </row>
    <row r="940" spans="1:6" x14ac:dyDescent="0.15">
      <c r="A940" s="1" t="s">
        <v>13205</v>
      </c>
      <c r="B940" s="1"/>
      <c r="C940" s="1" t="s">
        <v>13204</v>
      </c>
      <c r="D940" s="1">
        <v>2000</v>
      </c>
      <c r="E940" s="1" t="s">
        <v>13209</v>
      </c>
      <c r="F940" s="1">
        <v>10721728</v>
      </c>
    </row>
    <row r="941" spans="1:6" x14ac:dyDescent="0.15">
      <c r="A941" s="1" t="s">
        <v>13211</v>
      </c>
      <c r="B941" s="1"/>
      <c r="C941" s="1" t="s">
        <v>13210</v>
      </c>
      <c r="D941" s="1">
        <v>1992</v>
      </c>
      <c r="E941" s="1" t="s">
        <v>13214</v>
      </c>
      <c r="F941" s="1">
        <v>1644924</v>
      </c>
    </row>
    <row r="942" spans="1:6" x14ac:dyDescent="0.15">
      <c r="A942" s="1" t="s">
        <v>13216</v>
      </c>
      <c r="B942" s="1"/>
      <c r="C942" s="1" t="s">
        <v>13215</v>
      </c>
      <c r="D942" s="1">
        <v>2007</v>
      </c>
      <c r="E942" s="1" t="s">
        <v>13219</v>
      </c>
      <c r="F942" s="1">
        <v>17823924</v>
      </c>
    </row>
    <row r="943" spans="1:6" x14ac:dyDescent="0.15">
      <c r="A943" s="1" t="s">
        <v>13221</v>
      </c>
      <c r="B943" s="1"/>
      <c r="C943" s="1" t="s">
        <v>13220</v>
      </c>
      <c r="D943" s="1">
        <v>1998</v>
      </c>
      <c r="E943" s="1" t="s">
        <v>13224</v>
      </c>
      <c r="F943" s="1">
        <v>9712834</v>
      </c>
    </row>
    <row r="944" spans="1:6" x14ac:dyDescent="0.15">
      <c r="A944" s="1" t="s">
        <v>13230</v>
      </c>
      <c r="B944" s="1"/>
      <c r="C944" s="1" t="s">
        <v>13229</v>
      </c>
      <c r="D944" s="1">
        <v>2007</v>
      </c>
      <c r="E944" s="1" t="s">
        <v>13233</v>
      </c>
      <c r="F944" s="1">
        <v>17546597</v>
      </c>
    </row>
    <row r="945" spans="1:6" x14ac:dyDescent="0.15">
      <c r="A945" s="1" t="s">
        <v>13235</v>
      </c>
      <c r="B945" s="1"/>
      <c r="C945" s="1" t="s">
        <v>13234</v>
      </c>
      <c r="D945" s="1">
        <v>2012</v>
      </c>
      <c r="E945" s="1" t="s">
        <v>13239</v>
      </c>
      <c r="F945" s="1">
        <v>22306653</v>
      </c>
    </row>
    <row r="946" spans="1:6" x14ac:dyDescent="0.15">
      <c r="A946" s="1" t="s">
        <v>13241</v>
      </c>
      <c r="B946" s="1"/>
      <c r="C946" s="1" t="s">
        <v>13240</v>
      </c>
      <c r="D946" s="1">
        <v>1989</v>
      </c>
      <c r="E946" s="1" t="s">
        <v>13245</v>
      </c>
      <c r="F946" s="1">
        <v>2689174</v>
      </c>
    </row>
    <row r="947" spans="1:6" x14ac:dyDescent="0.15">
      <c r="A947" s="1" t="s">
        <v>13247</v>
      </c>
      <c r="B947" s="1"/>
      <c r="C947" s="1" t="s">
        <v>13246</v>
      </c>
      <c r="D947" s="1">
        <v>1999</v>
      </c>
      <c r="E947" s="1" t="s">
        <v>13250</v>
      </c>
      <c r="F947" s="1">
        <v>9873029</v>
      </c>
    </row>
    <row r="948" spans="1:6" x14ac:dyDescent="0.15">
      <c r="A948" s="1" t="s">
        <v>13252</v>
      </c>
      <c r="B948" s="1"/>
      <c r="C948" s="1" t="s">
        <v>13251</v>
      </c>
      <c r="D948" s="1">
        <v>2003</v>
      </c>
      <c r="E948" s="1" t="s">
        <v>13255</v>
      </c>
      <c r="F948" s="1">
        <v>12509439</v>
      </c>
    </row>
    <row r="949" spans="1:6" x14ac:dyDescent="0.15">
      <c r="A949" s="1" t="s">
        <v>13257</v>
      </c>
      <c r="B949" s="1"/>
      <c r="C949" s="1" t="s">
        <v>13256</v>
      </c>
      <c r="D949" s="1">
        <v>2012</v>
      </c>
      <c r="E949" s="1" t="s">
        <v>13261</v>
      </c>
      <c r="F949" s="1">
        <v>23020974</v>
      </c>
    </row>
    <row r="950" spans="1:6" x14ac:dyDescent="0.15">
      <c r="A950" s="1" t="s">
        <v>13263</v>
      </c>
      <c r="B950" s="1"/>
      <c r="C950" s="1" t="s">
        <v>13262</v>
      </c>
      <c r="D950" s="1">
        <v>1995</v>
      </c>
      <c r="E950" s="1" t="s">
        <v>13266</v>
      </c>
      <c r="F950" s="1">
        <v>7559527</v>
      </c>
    </row>
    <row r="951" spans="1:6" x14ac:dyDescent="0.15">
      <c r="A951" s="1" t="s">
        <v>13268</v>
      </c>
      <c r="B951" s="1"/>
      <c r="C951" s="1" t="s">
        <v>13267</v>
      </c>
      <c r="D951" s="1">
        <v>2000</v>
      </c>
      <c r="E951" s="1"/>
      <c r="F951" s="1">
        <v>10782830</v>
      </c>
    </row>
    <row r="952" spans="1:6" x14ac:dyDescent="0.15">
      <c r="A952" s="1" t="s">
        <v>13272</v>
      </c>
      <c r="B952" s="1"/>
      <c r="C952" s="1" t="s">
        <v>13271</v>
      </c>
      <c r="D952" s="1">
        <v>1990</v>
      </c>
      <c r="E952" s="1" t="s">
        <v>13276</v>
      </c>
      <c r="F952" s="1">
        <v>2154094</v>
      </c>
    </row>
    <row r="953" spans="1:6" x14ac:dyDescent="0.15">
      <c r="A953" s="1" t="s">
        <v>13291</v>
      </c>
      <c r="B953" s="1"/>
      <c r="C953" s="1" t="s">
        <v>13290</v>
      </c>
      <c r="D953" s="1">
        <v>1994</v>
      </c>
      <c r="E953" s="1" t="s">
        <v>13295</v>
      </c>
      <c r="F953" s="1">
        <v>8034739</v>
      </c>
    </row>
    <row r="954" spans="1:6" x14ac:dyDescent="0.15">
      <c r="A954" s="1" t="s">
        <v>13297</v>
      </c>
      <c r="B954" s="1"/>
      <c r="C954" s="1" t="s">
        <v>13296</v>
      </c>
      <c r="D954" s="1">
        <v>1998</v>
      </c>
      <c r="E954" s="1" t="s">
        <v>13301</v>
      </c>
      <c r="F954" s="1">
        <v>9530176</v>
      </c>
    </row>
    <row r="955" spans="1:6" x14ac:dyDescent="0.15">
      <c r="A955" s="1" t="s">
        <v>13303</v>
      </c>
      <c r="B955" s="1"/>
      <c r="C955" s="1" t="s">
        <v>13302</v>
      </c>
      <c r="D955" s="1">
        <v>2006</v>
      </c>
      <c r="E955" s="1" t="s">
        <v>13307</v>
      </c>
      <c r="F955" s="1">
        <v>16553833</v>
      </c>
    </row>
    <row r="956" spans="1:6" x14ac:dyDescent="0.15">
      <c r="A956" s="1" t="s">
        <v>13309</v>
      </c>
      <c r="B956" s="1"/>
      <c r="C956" s="1" t="s">
        <v>13308</v>
      </c>
      <c r="D956" s="1">
        <v>2011</v>
      </c>
      <c r="E956" s="1" t="s">
        <v>13315</v>
      </c>
      <c r="F956" s="1">
        <v>21677667</v>
      </c>
    </row>
    <row r="957" spans="1:6" x14ac:dyDescent="0.15">
      <c r="A957" s="1" t="s">
        <v>13317</v>
      </c>
      <c r="B957" s="1"/>
      <c r="C957" s="1" t="s">
        <v>13316</v>
      </c>
      <c r="D957" s="1">
        <v>2008</v>
      </c>
      <c r="E957" s="1" t="s">
        <v>13321</v>
      </c>
      <c r="F957" s="1">
        <v>18725234</v>
      </c>
    </row>
    <row r="958" spans="1:6" x14ac:dyDescent="0.15">
      <c r="A958" s="1" t="s">
        <v>13328</v>
      </c>
      <c r="B958" s="1"/>
      <c r="C958" s="1" t="s">
        <v>13327</v>
      </c>
      <c r="D958" s="1">
        <v>1997</v>
      </c>
      <c r="E958" s="1" t="s">
        <v>13332</v>
      </c>
      <c r="F958" s="1">
        <v>9165051</v>
      </c>
    </row>
    <row r="959" spans="1:6" x14ac:dyDescent="0.15">
      <c r="A959" s="1" t="s">
        <v>13334</v>
      </c>
      <c r="B959" s="1"/>
      <c r="C959" s="1" t="s">
        <v>13333</v>
      </c>
      <c r="D959" s="1">
        <v>2001</v>
      </c>
      <c r="E959" s="1" t="s">
        <v>13337</v>
      </c>
      <c r="F959" s="1">
        <v>11207362</v>
      </c>
    </row>
    <row r="960" spans="1:6" x14ac:dyDescent="0.15">
      <c r="A960" s="1" t="s">
        <v>13339</v>
      </c>
      <c r="B960" s="1"/>
      <c r="C960" s="1" t="s">
        <v>13338</v>
      </c>
      <c r="D960" s="1">
        <v>2003</v>
      </c>
      <c r="E960" s="1" t="s">
        <v>13343</v>
      </c>
      <c r="F960" s="1">
        <v>12814647</v>
      </c>
    </row>
    <row r="961" spans="1:6" x14ac:dyDescent="0.15">
      <c r="A961" s="1" t="s">
        <v>13345</v>
      </c>
      <c r="B961" s="1"/>
      <c r="C961" s="1" t="s">
        <v>13344</v>
      </c>
      <c r="D961" s="1">
        <v>2012</v>
      </c>
      <c r="E961" s="1" t="s">
        <v>13349</v>
      </c>
      <c r="F961" s="1">
        <v>22438260</v>
      </c>
    </row>
    <row r="962" spans="1:6" x14ac:dyDescent="0.15">
      <c r="A962" s="1" t="s">
        <v>13351</v>
      </c>
      <c r="B962" s="1"/>
      <c r="C962" s="1" t="s">
        <v>13350</v>
      </c>
      <c r="D962" s="1">
        <v>1998</v>
      </c>
      <c r="E962" s="1" t="s">
        <v>13354</v>
      </c>
      <c r="F962" s="1">
        <v>9446579</v>
      </c>
    </row>
    <row r="963" spans="1:6" x14ac:dyDescent="0.15">
      <c r="A963" s="1" t="s">
        <v>13360</v>
      </c>
      <c r="B963" s="1"/>
      <c r="C963" s="1" t="s">
        <v>13359</v>
      </c>
      <c r="D963" s="1">
        <v>2002</v>
      </c>
      <c r="E963" s="1" t="s">
        <v>13363</v>
      </c>
      <c r="F963" s="1">
        <v>11988182</v>
      </c>
    </row>
    <row r="964" spans="1:6" x14ac:dyDescent="0.15">
      <c r="A964" s="1" t="s">
        <v>13365</v>
      </c>
      <c r="B964" s="1"/>
      <c r="C964" s="1" t="s">
        <v>13364</v>
      </c>
      <c r="D964" s="1">
        <v>1995</v>
      </c>
      <c r="E964" s="1" t="s">
        <v>13368</v>
      </c>
      <c r="F964" s="1">
        <v>8849358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T735"/>
  <sheetViews>
    <sheetView topLeftCell="AA1" workbookViewId="0">
      <selection activeCell="AE32" sqref="AE32"/>
    </sheetView>
  </sheetViews>
  <sheetFormatPr baseColWidth="10" defaultRowHeight="13" x14ac:dyDescent="0.15"/>
  <cols>
    <col min="1" max="32" width="8.83203125" customWidth="1"/>
    <col min="33" max="33" width="24" customWidth="1"/>
    <col min="34" max="34" width="14.83203125" customWidth="1"/>
    <col min="35" max="35" width="18.1640625" customWidth="1"/>
    <col min="36"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2862</v>
      </c>
      <c r="C2" t="s">
        <v>74</v>
      </c>
      <c r="D2" t="s">
        <v>74</v>
      </c>
      <c r="E2" t="s">
        <v>74</v>
      </c>
      <c r="F2" t="s">
        <v>2863</v>
      </c>
      <c r="G2" t="s">
        <v>74</v>
      </c>
      <c r="H2" t="s">
        <v>74</v>
      </c>
      <c r="I2" t="s">
        <v>2864</v>
      </c>
      <c r="J2" t="s">
        <v>2865</v>
      </c>
      <c r="K2" t="s">
        <v>74</v>
      </c>
      <c r="L2" t="s">
        <v>74</v>
      </c>
      <c r="M2" t="s">
        <v>74</v>
      </c>
      <c r="N2" t="s">
        <v>78</v>
      </c>
      <c r="O2" t="s">
        <v>74</v>
      </c>
      <c r="P2" t="s">
        <v>74</v>
      </c>
      <c r="Q2" t="s">
        <v>74</v>
      </c>
      <c r="R2" t="s">
        <v>74</v>
      </c>
      <c r="S2" t="s">
        <v>74</v>
      </c>
      <c r="T2" t="s">
        <v>74</v>
      </c>
      <c r="U2" t="s">
        <v>2866</v>
      </c>
      <c r="V2" t="s">
        <v>2867</v>
      </c>
      <c r="W2" t="s">
        <v>2868</v>
      </c>
      <c r="X2" t="s">
        <v>2869</v>
      </c>
      <c r="Y2" t="s">
        <v>2870</v>
      </c>
      <c r="Z2" t="s">
        <v>2871</v>
      </c>
      <c r="AA2" t="s">
        <v>2872</v>
      </c>
      <c r="AB2" t="s">
        <v>2873</v>
      </c>
      <c r="AC2" t="s">
        <v>74</v>
      </c>
      <c r="AD2" t="s">
        <v>74</v>
      </c>
      <c r="AE2" t="s">
        <v>74</v>
      </c>
      <c r="AF2" t="s">
        <v>74</v>
      </c>
      <c r="AG2">
        <v>56</v>
      </c>
      <c r="AH2">
        <v>984</v>
      </c>
      <c r="AI2">
        <v>1020</v>
      </c>
      <c r="AJ2">
        <v>81</v>
      </c>
      <c r="AK2">
        <v>531</v>
      </c>
      <c r="AL2" t="s">
        <v>74</v>
      </c>
      <c r="AM2" t="s">
        <v>74</v>
      </c>
      <c r="AN2" t="s">
        <v>74</v>
      </c>
      <c r="AO2" t="s">
        <v>2874</v>
      </c>
      <c r="AP2" t="s">
        <v>2875</v>
      </c>
      <c r="AQ2" t="s">
        <v>74</v>
      </c>
      <c r="AR2" t="s">
        <v>74</v>
      </c>
      <c r="AS2" t="s">
        <v>74</v>
      </c>
      <c r="AT2" t="s">
        <v>1808</v>
      </c>
      <c r="AU2">
        <v>2019</v>
      </c>
      <c r="AV2">
        <v>177</v>
      </c>
      <c r="AW2">
        <v>2</v>
      </c>
      <c r="AX2" t="s">
        <v>74</v>
      </c>
      <c r="AY2" t="s">
        <v>74</v>
      </c>
      <c r="AZ2" t="s">
        <v>74</v>
      </c>
      <c r="BA2" t="s">
        <v>74</v>
      </c>
      <c r="BB2">
        <v>428</v>
      </c>
      <c r="BC2" t="s">
        <v>109</v>
      </c>
      <c r="BD2" t="s">
        <v>74</v>
      </c>
      <c r="BE2" t="s">
        <v>2876</v>
      </c>
      <c r="BF2" t="str">
        <f>HYPERLINK("http://dx.doi.org/10.1016/j.cell.2019.02.029","http://dx.doi.org/10.1016/j.cell.2019.02.029")</f>
        <v>http://dx.doi.org/10.1016/j.cell.2019.02.029</v>
      </c>
      <c r="BG2" t="s">
        <v>74</v>
      </c>
      <c r="BH2" t="s">
        <v>74</v>
      </c>
      <c r="BI2" t="s">
        <v>74</v>
      </c>
      <c r="BJ2" t="s">
        <v>1493</v>
      </c>
      <c r="BK2" t="s">
        <v>112</v>
      </c>
      <c r="BL2" t="s">
        <v>1493</v>
      </c>
      <c r="BM2" t="s">
        <v>74</v>
      </c>
      <c r="BN2">
        <v>30951670</v>
      </c>
      <c r="BO2" t="s">
        <v>74</v>
      </c>
      <c r="BP2" t="s">
        <v>420</v>
      </c>
      <c r="BQ2" t="s">
        <v>421</v>
      </c>
      <c r="BR2" t="s">
        <v>93</v>
      </c>
      <c r="BS2" t="s">
        <v>2877</v>
      </c>
      <c r="BT2" t="str">
        <f>HYPERLINK("https%3A%2F%2Fwww.webofscience.com%2Fwos%2Fwoscc%2Ffull-record%2FWOS:000463346200020","View Full Record in Web of Science")</f>
        <v>View Full Record in Web of Science</v>
      </c>
    </row>
    <row r="3" spans="1:72" x14ac:dyDescent="0.15">
      <c r="A3" t="s">
        <v>72</v>
      </c>
      <c r="B3" t="s">
        <v>4725</v>
      </c>
      <c r="C3" t="s">
        <v>74</v>
      </c>
      <c r="D3" t="s">
        <v>74</v>
      </c>
      <c r="E3" t="s">
        <v>74</v>
      </c>
      <c r="F3" t="s">
        <v>4726</v>
      </c>
      <c r="G3" t="s">
        <v>74</v>
      </c>
      <c r="H3" t="s">
        <v>74</v>
      </c>
      <c r="I3" t="s">
        <v>4727</v>
      </c>
      <c r="J3" t="s">
        <v>2850</v>
      </c>
      <c r="K3" t="s">
        <v>74</v>
      </c>
      <c r="L3" t="s">
        <v>74</v>
      </c>
      <c r="M3" t="s">
        <v>74</v>
      </c>
      <c r="N3" t="s">
        <v>78</v>
      </c>
      <c r="O3" t="s">
        <v>74</v>
      </c>
      <c r="P3" t="s">
        <v>74</v>
      </c>
      <c r="Q3" t="s">
        <v>74</v>
      </c>
      <c r="R3" t="s">
        <v>74</v>
      </c>
      <c r="S3" t="s">
        <v>74</v>
      </c>
      <c r="T3" t="s">
        <v>74</v>
      </c>
      <c r="U3" t="s">
        <v>4728</v>
      </c>
      <c r="V3" t="s">
        <v>4729</v>
      </c>
      <c r="W3" t="s">
        <v>4730</v>
      </c>
      <c r="X3" t="s">
        <v>4731</v>
      </c>
      <c r="Y3" t="s">
        <v>4732</v>
      </c>
      <c r="Z3" t="s">
        <v>4733</v>
      </c>
      <c r="AA3" t="s">
        <v>74</v>
      </c>
      <c r="AB3" t="s">
        <v>4734</v>
      </c>
      <c r="AC3" t="s">
        <v>74</v>
      </c>
      <c r="AD3" t="s">
        <v>74</v>
      </c>
      <c r="AE3" t="s">
        <v>74</v>
      </c>
      <c r="AF3" t="s">
        <v>74</v>
      </c>
      <c r="AG3">
        <v>60</v>
      </c>
      <c r="AH3">
        <v>728</v>
      </c>
      <c r="AI3">
        <v>753</v>
      </c>
      <c r="AJ3">
        <v>8</v>
      </c>
      <c r="AK3">
        <v>103</v>
      </c>
      <c r="AL3" t="s">
        <v>74</v>
      </c>
      <c r="AM3" t="s">
        <v>74</v>
      </c>
      <c r="AN3" t="s">
        <v>74</v>
      </c>
      <c r="AO3" t="s">
        <v>2859</v>
      </c>
      <c r="AP3" t="s">
        <v>74</v>
      </c>
      <c r="AQ3" t="s">
        <v>74</v>
      </c>
      <c r="AR3" t="s">
        <v>74</v>
      </c>
      <c r="AS3" t="s">
        <v>74</v>
      </c>
      <c r="AT3" t="s">
        <v>640</v>
      </c>
      <c r="AU3">
        <v>2011</v>
      </c>
      <c r="AV3">
        <v>2</v>
      </c>
      <c r="AW3" t="s">
        <v>74</v>
      </c>
      <c r="AX3" t="s">
        <v>74</v>
      </c>
      <c r="AY3" t="s">
        <v>74</v>
      </c>
      <c r="AZ3" t="s">
        <v>74</v>
      </c>
      <c r="BA3" t="s">
        <v>74</v>
      </c>
      <c r="BB3" t="s">
        <v>74</v>
      </c>
      <c r="BC3" t="s">
        <v>74</v>
      </c>
      <c r="BD3">
        <v>180</v>
      </c>
      <c r="BE3" t="s">
        <v>4735</v>
      </c>
      <c r="BF3" t="str">
        <f>HYPERLINK("http://dx.doi.org/10.1038/ncomms1180","http://dx.doi.org/10.1038/ncomms1180")</f>
        <v>http://dx.doi.org/10.1038/ncomms1180</v>
      </c>
      <c r="BG3" t="s">
        <v>74</v>
      </c>
      <c r="BH3" t="s">
        <v>74</v>
      </c>
      <c r="BI3" t="s">
        <v>74</v>
      </c>
      <c r="BJ3" t="s">
        <v>545</v>
      </c>
      <c r="BK3" t="s">
        <v>112</v>
      </c>
      <c r="BL3" t="s">
        <v>546</v>
      </c>
      <c r="BM3" t="s">
        <v>74</v>
      </c>
      <c r="BN3">
        <v>21285958</v>
      </c>
      <c r="BO3" t="s">
        <v>74</v>
      </c>
      <c r="BP3" t="s">
        <v>74</v>
      </c>
      <c r="BQ3" t="s">
        <v>74</v>
      </c>
      <c r="BR3" t="s">
        <v>93</v>
      </c>
      <c r="BS3" t="s">
        <v>4736</v>
      </c>
      <c r="BT3" t="str">
        <f>HYPERLINK("https%3A%2F%2Fwww.webofscience.com%2Fwos%2Fwoscc%2Ffull-record%2FWOS:000288225900009","View Full Record in Web of Science")</f>
        <v>View Full Record in Web of Science</v>
      </c>
    </row>
    <row r="4" spans="1:72" x14ac:dyDescent="0.15">
      <c r="A4" t="s">
        <v>72</v>
      </c>
      <c r="B4" t="s">
        <v>5183</v>
      </c>
      <c r="C4" t="s">
        <v>74</v>
      </c>
      <c r="D4" t="s">
        <v>74</v>
      </c>
      <c r="E4" t="s">
        <v>74</v>
      </c>
      <c r="F4" t="s">
        <v>5184</v>
      </c>
      <c r="G4" t="s">
        <v>74</v>
      </c>
      <c r="H4" t="s">
        <v>74</v>
      </c>
      <c r="I4" t="s">
        <v>5185</v>
      </c>
      <c r="J4" t="s">
        <v>297</v>
      </c>
      <c r="K4" t="s">
        <v>74</v>
      </c>
      <c r="L4" t="s">
        <v>74</v>
      </c>
      <c r="M4" t="s">
        <v>74</v>
      </c>
      <c r="N4" t="s">
        <v>78</v>
      </c>
      <c r="O4" t="s">
        <v>74</v>
      </c>
      <c r="P4" t="s">
        <v>74</v>
      </c>
      <c r="Q4" t="s">
        <v>74</v>
      </c>
      <c r="R4" t="s">
        <v>74</v>
      </c>
      <c r="S4" t="s">
        <v>74</v>
      </c>
      <c r="T4" t="s">
        <v>5186</v>
      </c>
      <c r="U4" t="s">
        <v>5187</v>
      </c>
      <c r="V4" t="s">
        <v>5188</v>
      </c>
      <c r="W4" t="s">
        <v>5189</v>
      </c>
      <c r="X4" t="s">
        <v>5190</v>
      </c>
      <c r="Y4" t="s">
        <v>5191</v>
      </c>
      <c r="Z4" t="s">
        <v>5192</v>
      </c>
      <c r="AA4" t="s">
        <v>5193</v>
      </c>
      <c r="AB4" t="s">
        <v>5194</v>
      </c>
      <c r="AC4" t="s">
        <v>74</v>
      </c>
      <c r="AD4" t="s">
        <v>74</v>
      </c>
      <c r="AE4" t="s">
        <v>74</v>
      </c>
      <c r="AF4" t="s">
        <v>74</v>
      </c>
      <c r="AG4">
        <v>70</v>
      </c>
      <c r="AH4">
        <v>636</v>
      </c>
      <c r="AI4">
        <v>668</v>
      </c>
      <c r="AJ4">
        <v>17</v>
      </c>
      <c r="AK4">
        <v>196</v>
      </c>
      <c r="AL4" t="s">
        <v>74</v>
      </c>
      <c r="AM4" t="s">
        <v>74</v>
      </c>
      <c r="AN4" t="s">
        <v>74</v>
      </c>
      <c r="AO4" t="s">
        <v>307</v>
      </c>
      <c r="AP4" t="s">
        <v>74</v>
      </c>
      <c r="AQ4" t="s">
        <v>74</v>
      </c>
      <c r="AR4" t="s">
        <v>74</v>
      </c>
      <c r="AS4" t="s">
        <v>74</v>
      </c>
      <c r="AT4" t="s">
        <v>5195</v>
      </c>
      <c r="AU4">
        <v>2013</v>
      </c>
      <c r="AV4">
        <v>14</v>
      </c>
      <c r="AW4" t="s">
        <v>74</v>
      </c>
      <c r="AX4" t="s">
        <v>74</v>
      </c>
      <c r="AY4" t="s">
        <v>74</v>
      </c>
      <c r="AZ4" t="s">
        <v>74</v>
      </c>
      <c r="BA4" t="s">
        <v>74</v>
      </c>
      <c r="BB4" t="s">
        <v>74</v>
      </c>
      <c r="BC4" t="s">
        <v>74</v>
      </c>
      <c r="BD4">
        <v>319</v>
      </c>
      <c r="BE4" t="s">
        <v>5196</v>
      </c>
      <c r="BF4" t="str">
        <f>HYPERLINK("http://dx.doi.org/10.1186/1471-2164-14-319","http://dx.doi.org/10.1186/1471-2164-14-319")</f>
        <v>http://dx.doi.org/10.1186/1471-2164-14-319</v>
      </c>
      <c r="BG4" t="s">
        <v>74</v>
      </c>
      <c r="BH4" t="s">
        <v>74</v>
      </c>
      <c r="BI4" t="s">
        <v>74</v>
      </c>
      <c r="BJ4" t="s">
        <v>310</v>
      </c>
      <c r="BK4" t="s">
        <v>112</v>
      </c>
      <c r="BL4" t="s">
        <v>310</v>
      </c>
      <c r="BM4" t="s">
        <v>74</v>
      </c>
      <c r="BN4">
        <v>23663360</v>
      </c>
      <c r="BO4" t="s">
        <v>74</v>
      </c>
      <c r="BP4" t="s">
        <v>420</v>
      </c>
      <c r="BQ4" t="s">
        <v>421</v>
      </c>
      <c r="BR4" t="s">
        <v>93</v>
      </c>
      <c r="BS4" t="s">
        <v>5197</v>
      </c>
      <c r="BT4" t="str">
        <f>HYPERLINK("https%3A%2F%2Fwww.webofscience.com%2Fwos%2Fwoscc%2Ffull-record%2FWOS:000318944200001","View Full Record in Web of Science")</f>
        <v>View Full Record in Web of Science</v>
      </c>
    </row>
    <row r="5" spans="1:72" x14ac:dyDescent="0.15">
      <c r="A5" t="s">
        <v>72</v>
      </c>
      <c r="B5" t="s">
        <v>6352</v>
      </c>
      <c r="C5" t="s">
        <v>74</v>
      </c>
      <c r="D5" t="s">
        <v>74</v>
      </c>
      <c r="E5" t="s">
        <v>74</v>
      </c>
      <c r="F5" t="s">
        <v>6353</v>
      </c>
      <c r="G5" t="s">
        <v>74</v>
      </c>
      <c r="H5" t="s">
        <v>74</v>
      </c>
      <c r="I5" t="s">
        <v>6354</v>
      </c>
      <c r="J5" t="s">
        <v>6328</v>
      </c>
      <c r="K5" t="s">
        <v>74</v>
      </c>
      <c r="L5" t="s">
        <v>74</v>
      </c>
      <c r="M5" t="s">
        <v>74</v>
      </c>
      <c r="N5" t="s">
        <v>78</v>
      </c>
      <c r="O5" t="s">
        <v>74</v>
      </c>
      <c r="P5" t="s">
        <v>74</v>
      </c>
      <c r="Q5" t="s">
        <v>74</v>
      </c>
      <c r="R5" t="s">
        <v>74</v>
      </c>
      <c r="S5" t="s">
        <v>74</v>
      </c>
      <c r="T5" t="s">
        <v>74</v>
      </c>
      <c r="U5" t="s">
        <v>6355</v>
      </c>
      <c r="V5" t="s">
        <v>6356</v>
      </c>
      <c r="W5" t="s">
        <v>6357</v>
      </c>
      <c r="X5" t="s">
        <v>6358</v>
      </c>
      <c r="Y5" t="s">
        <v>6359</v>
      </c>
      <c r="Z5" t="s">
        <v>6360</v>
      </c>
      <c r="AA5" t="s">
        <v>6361</v>
      </c>
      <c r="AB5" t="s">
        <v>6362</v>
      </c>
      <c r="AC5" t="s">
        <v>74</v>
      </c>
      <c r="AD5" t="s">
        <v>74</v>
      </c>
      <c r="AE5" t="s">
        <v>74</v>
      </c>
      <c r="AF5" t="s">
        <v>74</v>
      </c>
      <c r="AG5">
        <v>45</v>
      </c>
      <c r="AH5">
        <v>630</v>
      </c>
      <c r="AI5">
        <v>662</v>
      </c>
      <c r="AJ5">
        <v>8</v>
      </c>
      <c r="AK5">
        <v>65</v>
      </c>
      <c r="AL5" t="s">
        <v>74</v>
      </c>
      <c r="AM5" t="s">
        <v>74</v>
      </c>
      <c r="AN5" t="s">
        <v>74</v>
      </c>
      <c r="AO5" t="s">
        <v>6335</v>
      </c>
      <c r="AP5" t="s">
        <v>6336</v>
      </c>
      <c r="AQ5" t="s">
        <v>74</v>
      </c>
      <c r="AR5" t="s">
        <v>74</v>
      </c>
      <c r="AS5" t="s">
        <v>74</v>
      </c>
      <c r="AT5" t="s">
        <v>6363</v>
      </c>
      <c r="AU5">
        <v>2010</v>
      </c>
      <c r="AV5">
        <v>185</v>
      </c>
      <c r="AW5">
        <v>12</v>
      </c>
      <c r="AX5" t="s">
        <v>74</v>
      </c>
      <c r="AY5" t="s">
        <v>74</v>
      </c>
      <c r="AZ5" t="s">
        <v>74</v>
      </c>
      <c r="BA5" t="s">
        <v>74</v>
      </c>
      <c r="BB5">
        <v>7413</v>
      </c>
      <c r="BC5">
        <v>7425</v>
      </c>
      <c r="BD5" t="s">
        <v>74</v>
      </c>
      <c r="BE5" t="s">
        <v>6364</v>
      </c>
      <c r="BF5" t="str">
        <f>HYPERLINK("http://dx.doi.org/10.4049/jimmunol.1000675","http://dx.doi.org/10.4049/jimmunol.1000675")</f>
        <v>http://dx.doi.org/10.4049/jimmunol.1000675</v>
      </c>
      <c r="BG5" t="s">
        <v>74</v>
      </c>
      <c r="BH5" t="s">
        <v>74</v>
      </c>
      <c r="BI5" t="s">
        <v>74</v>
      </c>
      <c r="BJ5" t="s">
        <v>2276</v>
      </c>
      <c r="BK5" t="s">
        <v>112</v>
      </c>
      <c r="BL5" t="s">
        <v>2276</v>
      </c>
      <c r="BM5" t="s">
        <v>74</v>
      </c>
      <c r="BN5">
        <v>21098229</v>
      </c>
      <c r="BO5" t="s">
        <v>74</v>
      </c>
      <c r="BP5" t="s">
        <v>74</v>
      </c>
      <c r="BQ5" t="s">
        <v>74</v>
      </c>
      <c r="BR5" t="s">
        <v>93</v>
      </c>
      <c r="BS5" t="s">
        <v>6365</v>
      </c>
      <c r="BT5" t="str">
        <f>HYPERLINK("https%3A%2F%2Fwww.webofscience.com%2Fwos%2Fwoscc%2Ffull-record%2FWOS:000284878700038","View Full Record in Web of Science")</f>
        <v>View Full Record in Web of Science</v>
      </c>
    </row>
    <row r="6" spans="1:72" x14ac:dyDescent="0.15">
      <c r="A6" t="s">
        <v>72</v>
      </c>
      <c r="B6" t="s">
        <v>926</v>
      </c>
      <c r="C6" t="s">
        <v>74</v>
      </c>
      <c r="D6" t="s">
        <v>74</v>
      </c>
      <c r="E6" t="s">
        <v>74</v>
      </c>
      <c r="F6" t="s">
        <v>927</v>
      </c>
      <c r="G6" t="s">
        <v>74</v>
      </c>
      <c r="H6" t="s">
        <v>74</v>
      </c>
      <c r="I6" t="s">
        <v>928</v>
      </c>
      <c r="J6" t="s">
        <v>929</v>
      </c>
      <c r="K6" t="s">
        <v>74</v>
      </c>
      <c r="L6" t="s">
        <v>74</v>
      </c>
      <c r="M6" t="s">
        <v>74</v>
      </c>
      <c r="N6" t="s">
        <v>78</v>
      </c>
      <c r="O6" t="s">
        <v>74</v>
      </c>
      <c r="P6" t="s">
        <v>74</v>
      </c>
      <c r="Q6" t="s">
        <v>74</v>
      </c>
      <c r="R6" t="s">
        <v>74</v>
      </c>
      <c r="S6" t="s">
        <v>74</v>
      </c>
      <c r="T6" t="s">
        <v>930</v>
      </c>
      <c r="U6" t="s">
        <v>931</v>
      </c>
      <c r="V6" t="s">
        <v>932</v>
      </c>
      <c r="W6" t="s">
        <v>933</v>
      </c>
      <c r="X6" t="s">
        <v>934</v>
      </c>
      <c r="Y6" t="s">
        <v>935</v>
      </c>
      <c r="Z6" t="s">
        <v>936</v>
      </c>
      <c r="AA6" t="s">
        <v>937</v>
      </c>
      <c r="AB6" t="s">
        <v>938</v>
      </c>
      <c r="AC6" t="s">
        <v>74</v>
      </c>
      <c r="AD6" t="s">
        <v>74</v>
      </c>
      <c r="AE6" t="s">
        <v>74</v>
      </c>
      <c r="AF6" t="s">
        <v>74</v>
      </c>
      <c r="AG6">
        <v>23</v>
      </c>
      <c r="AH6">
        <v>604</v>
      </c>
      <c r="AI6">
        <v>628</v>
      </c>
      <c r="AJ6">
        <v>7</v>
      </c>
      <c r="AK6">
        <v>82</v>
      </c>
      <c r="AL6" t="s">
        <v>74</v>
      </c>
      <c r="AM6" t="s">
        <v>74</v>
      </c>
      <c r="AN6" t="s">
        <v>74</v>
      </c>
      <c r="AO6" t="s">
        <v>939</v>
      </c>
      <c r="AP6" t="s">
        <v>940</v>
      </c>
      <c r="AQ6" t="s">
        <v>74</v>
      </c>
      <c r="AR6" t="s">
        <v>74</v>
      </c>
      <c r="AS6" t="s">
        <v>74</v>
      </c>
      <c r="AT6" t="s">
        <v>941</v>
      </c>
      <c r="AU6">
        <v>2014</v>
      </c>
      <c r="AV6">
        <v>289</v>
      </c>
      <c r="AW6">
        <v>7</v>
      </c>
      <c r="AX6" t="s">
        <v>74</v>
      </c>
      <c r="AY6" t="s">
        <v>74</v>
      </c>
      <c r="AZ6" t="s">
        <v>74</v>
      </c>
      <c r="BA6" t="s">
        <v>74</v>
      </c>
      <c r="BB6">
        <v>3869</v>
      </c>
      <c r="BC6">
        <v>3875</v>
      </c>
      <c r="BD6" t="s">
        <v>74</v>
      </c>
      <c r="BE6" t="s">
        <v>942</v>
      </c>
      <c r="BF6" t="str">
        <f>HYPERLINK("http://dx.doi.org/10.1074/jbc.C113.532267","http://dx.doi.org/10.1074/jbc.C113.532267")</f>
        <v>http://dx.doi.org/10.1074/jbc.C113.532267</v>
      </c>
      <c r="BG6" t="s">
        <v>74</v>
      </c>
      <c r="BH6" t="s">
        <v>74</v>
      </c>
      <c r="BI6" t="s">
        <v>74</v>
      </c>
      <c r="BJ6" t="s">
        <v>92</v>
      </c>
      <c r="BK6" t="s">
        <v>112</v>
      </c>
      <c r="BL6" t="s">
        <v>92</v>
      </c>
      <c r="BM6" t="s">
        <v>74</v>
      </c>
      <c r="BN6">
        <v>24398677</v>
      </c>
      <c r="BO6" t="s">
        <v>74</v>
      </c>
      <c r="BP6" t="s">
        <v>420</v>
      </c>
      <c r="BQ6" t="s">
        <v>421</v>
      </c>
      <c r="BR6" t="s">
        <v>93</v>
      </c>
      <c r="BS6" t="s">
        <v>943</v>
      </c>
      <c r="BT6" t="str">
        <f>HYPERLINK("https%3A%2F%2Fwww.webofscience.com%2Fwos%2Fwoscc%2Ffull-record%2FWOS:000331403800004","View Full Record in Web of Science")</f>
        <v>View Full Record in Web of Science</v>
      </c>
    </row>
    <row r="7" spans="1:72" x14ac:dyDescent="0.15">
      <c r="A7" t="s">
        <v>72</v>
      </c>
      <c r="B7" t="s">
        <v>2847</v>
      </c>
      <c r="C7" t="s">
        <v>74</v>
      </c>
      <c r="D7" t="s">
        <v>74</v>
      </c>
      <c r="E7" t="s">
        <v>74</v>
      </c>
      <c r="F7" t="s">
        <v>2848</v>
      </c>
      <c r="G7" t="s">
        <v>74</v>
      </c>
      <c r="H7" t="s">
        <v>74</v>
      </c>
      <c r="I7" t="s">
        <v>2849</v>
      </c>
      <c r="J7" t="s">
        <v>2850</v>
      </c>
      <c r="K7" t="s">
        <v>74</v>
      </c>
      <c r="L7" t="s">
        <v>74</v>
      </c>
      <c r="M7" t="s">
        <v>74</v>
      </c>
      <c r="N7" t="s">
        <v>78</v>
      </c>
      <c r="O7" t="s">
        <v>74</v>
      </c>
      <c r="P7" t="s">
        <v>74</v>
      </c>
      <c r="Q7" t="s">
        <v>74</v>
      </c>
      <c r="R7" t="s">
        <v>74</v>
      </c>
      <c r="S7" t="s">
        <v>74</v>
      </c>
      <c r="T7" t="s">
        <v>74</v>
      </c>
      <c r="U7" t="s">
        <v>2851</v>
      </c>
      <c r="V7" t="s">
        <v>2852</v>
      </c>
      <c r="W7" t="s">
        <v>2853</v>
      </c>
      <c r="X7" t="s">
        <v>2854</v>
      </c>
      <c r="Y7" t="s">
        <v>2855</v>
      </c>
      <c r="Z7" t="s">
        <v>2856</v>
      </c>
      <c r="AA7" t="s">
        <v>2857</v>
      </c>
      <c r="AB7" t="s">
        <v>2858</v>
      </c>
      <c r="AC7" t="s">
        <v>74</v>
      </c>
      <c r="AD7" t="s">
        <v>74</v>
      </c>
      <c r="AE7" t="s">
        <v>74</v>
      </c>
      <c r="AF7" t="s">
        <v>74</v>
      </c>
      <c r="AG7">
        <v>64</v>
      </c>
      <c r="AH7">
        <v>486</v>
      </c>
      <c r="AI7">
        <v>503</v>
      </c>
      <c r="AJ7">
        <v>22</v>
      </c>
      <c r="AK7">
        <v>140</v>
      </c>
      <c r="AL7" t="s">
        <v>74</v>
      </c>
      <c r="AM7" t="s">
        <v>74</v>
      </c>
      <c r="AN7" t="s">
        <v>74</v>
      </c>
      <c r="AO7" t="s">
        <v>2859</v>
      </c>
      <c r="AP7" t="s">
        <v>74</v>
      </c>
      <c r="AQ7" t="s">
        <v>74</v>
      </c>
      <c r="AR7" t="s">
        <v>74</v>
      </c>
      <c r="AS7" t="s">
        <v>74</v>
      </c>
      <c r="AT7" t="s">
        <v>437</v>
      </c>
      <c r="AU7">
        <v>2015</v>
      </c>
      <c r="AV7">
        <v>6</v>
      </c>
      <c r="AW7" t="s">
        <v>74</v>
      </c>
      <c r="AX7" t="s">
        <v>74</v>
      </c>
      <c r="AY7" t="s">
        <v>74</v>
      </c>
      <c r="AZ7" t="s">
        <v>74</v>
      </c>
      <c r="BA7" t="s">
        <v>74</v>
      </c>
      <c r="BB7" t="s">
        <v>74</v>
      </c>
      <c r="BC7" t="s">
        <v>74</v>
      </c>
      <c r="BD7">
        <v>8472</v>
      </c>
      <c r="BE7" t="s">
        <v>2860</v>
      </c>
      <c r="BF7" t="str">
        <f>HYPERLINK("http://dx.doi.org/10.1038/ncomms9472","http://dx.doi.org/10.1038/ncomms9472")</f>
        <v>http://dx.doi.org/10.1038/ncomms9472</v>
      </c>
      <c r="BG7" t="s">
        <v>74</v>
      </c>
      <c r="BH7" t="s">
        <v>74</v>
      </c>
      <c r="BI7" t="s">
        <v>74</v>
      </c>
      <c r="BJ7" t="s">
        <v>545</v>
      </c>
      <c r="BK7" t="s">
        <v>112</v>
      </c>
      <c r="BL7" t="s">
        <v>546</v>
      </c>
      <c r="BM7" t="s">
        <v>74</v>
      </c>
      <c r="BN7">
        <v>26442449</v>
      </c>
      <c r="BO7" t="s">
        <v>74</v>
      </c>
      <c r="BP7" t="s">
        <v>420</v>
      </c>
      <c r="BQ7" t="s">
        <v>421</v>
      </c>
      <c r="BR7" t="s">
        <v>93</v>
      </c>
      <c r="BS7" t="s">
        <v>2861</v>
      </c>
      <c r="BT7" t="str">
        <f>HYPERLINK("https%3A%2F%2Fwww.webofscience.com%2Fwos%2Fwoscc%2Ffull-record%2FWOS:000364926700001","View Full Record in Web of Science")</f>
        <v>View Full Record in Web of Science</v>
      </c>
    </row>
    <row r="8" spans="1:72" x14ac:dyDescent="0.15">
      <c r="A8" t="s">
        <v>72</v>
      </c>
      <c r="B8" t="s">
        <v>3190</v>
      </c>
      <c r="C8" t="s">
        <v>74</v>
      </c>
      <c r="D8" t="s">
        <v>74</v>
      </c>
      <c r="E8" t="s">
        <v>74</v>
      </c>
      <c r="F8" t="s">
        <v>3191</v>
      </c>
      <c r="G8" t="s">
        <v>74</v>
      </c>
      <c r="H8" t="s">
        <v>74</v>
      </c>
      <c r="I8" t="s">
        <v>3192</v>
      </c>
      <c r="J8" t="s">
        <v>2592</v>
      </c>
      <c r="K8" t="s">
        <v>74</v>
      </c>
      <c r="L8" t="s">
        <v>74</v>
      </c>
      <c r="M8" t="s">
        <v>74</v>
      </c>
      <c r="N8" t="s">
        <v>78</v>
      </c>
      <c r="O8" t="s">
        <v>74</v>
      </c>
      <c r="P8" t="s">
        <v>74</v>
      </c>
      <c r="Q8" t="s">
        <v>74</v>
      </c>
      <c r="R8" t="s">
        <v>74</v>
      </c>
      <c r="S8" t="s">
        <v>74</v>
      </c>
      <c r="T8" t="s">
        <v>74</v>
      </c>
      <c r="U8" t="s">
        <v>3193</v>
      </c>
      <c r="V8" t="s">
        <v>3194</v>
      </c>
      <c r="W8" t="s">
        <v>3195</v>
      </c>
      <c r="X8" t="s">
        <v>3196</v>
      </c>
      <c r="Y8" t="s">
        <v>3197</v>
      </c>
      <c r="Z8" t="s">
        <v>3198</v>
      </c>
      <c r="AA8" t="s">
        <v>74</v>
      </c>
      <c r="AB8" t="s">
        <v>74</v>
      </c>
      <c r="AC8" t="s">
        <v>74</v>
      </c>
      <c r="AD8" t="s">
        <v>74</v>
      </c>
      <c r="AE8" t="s">
        <v>74</v>
      </c>
      <c r="AF8" t="s">
        <v>74</v>
      </c>
      <c r="AG8">
        <v>33</v>
      </c>
      <c r="AH8">
        <v>467</v>
      </c>
      <c r="AI8">
        <v>495</v>
      </c>
      <c r="AJ8">
        <v>8</v>
      </c>
      <c r="AK8">
        <v>101</v>
      </c>
      <c r="AL8" t="s">
        <v>74</v>
      </c>
      <c r="AM8" t="s">
        <v>74</v>
      </c>
      <c r="AN8" t="s">
        <v>74</v>
      </c>
      <c r="AO8" t="s">
        <v>2601</v>
      </c>
      <c r="AP8" t="s">
        <v>74</v>
      </c>
      <c r="AQ8" t="s">
        <v>74</v>
      </c>
      <c r="AR8" t="s">
        <v>74</v>
      </c>
      <c r="AS8" t="s">
        <v>74</v>
      </c>
      <c r="AT8" t="s">
        <v>3199</v>
      </c>
      <c r="AU8">
        <v>2011</v>
      </c>
      <c r="AV8">
        <v>9</v>
      </c>
      <c r="AW8" t="s">
        <v>74</v>
      </c>
      <c r="AX8" t="s">
        <v>74</v>
      </c>
      <c r="AY8" t="s">
        <v>74</v>
      </c>
      <c r="AZ8" t="s">
        <v>74</v>
      </c>
      <c r="BA8" t="s">
        <v>74</v>
      </c>
      <c r="BB8" t="s">
        <v>74</v>
      </c>
      <c r="BC8" t="s">
        <v>74</v>
      </c>
      <c r="BD8">
        <v>86</v>
      </c>
      <c r="BE8" t="s">
        <v>3200</v>
      </c>
      <c r="BF8" t="str">
        <f>HYPERLINK("http://dx.doi.org/10.1186/1479-5876-9-86","http://dx.doi.org/10.1186/1479-5876-9-86")</f>
        <v>http://dx.doi.org/10.1186/1479-5876-9-86</v>
      </c>
      <c r="BG8" t="s">
        <v>74</v>
      </c>
      <c r="BH8" t="s">
        <v>74</v>
      </c>
      <c r="BI8" t="s">
        <v>74</v>
      </c>
      <c r="BJ8" t="s">
        <v>506</v>
      </c>
      <c r="BK8" t="s">
        <v>112</v>
      </c>
      <c r="BL8" t="s">
        <v>507</v>
      </c>
      <c r="BM8" t="s">
        <v>74</v>
      </c>
      <c r="BN8">
        <v>21651777</v>
      </c>
      <c r="BO8" t="s">
        <v>74</v>
      </c>
      <c r="BP8" t="s">
        <v>74</v>
      </c>
      <c r="BQ8" t="s">
        <v>74</v>
      </c>
      <c r="BR8" t="s">
        <v>93</v>
      </c>
      <c r="BS8" t="s">
        <v>3201</v>
      </c>
      <c r="BT8" t="str">
        <f>HYPERLINK("https%3A%2F%2Fwww.webofscience.com%2Fwos%2Fwoscc%2Ffull-record%2FWOS:000291822700001","View Full Record in Web of Science")</f>
        <v>View Full Record in Web of Science</v>
      </c>
    </row>
    <row r="9" spans="1:72" x14ac:dyDescent="0.15">
      <c r="A9" t="s">
        <v>72</v>
      </c>
      <c r="B9" t="s">
        <v>7852</v>
      </c>
      <c r="C9" t="s">
        <v>74</v>
      </c>
      <c r="D9" t="s">
        <v>74</v>
      </c>
      <c r="E9" t="s">
        <v>74</v>
      </c>
      <c r="F9" t="s">
        <v>7852</v>
      </c>
      <c r="G9" t="s">
        <v>74</v>
      </c>
      <c r="H9" t="s">
        <v>74</v>
      </c>
      <c r="I9" t="s">
        <v>7853</v>
      </c>
      <c r="J9" t="s">
        <v>4696</v>
      </c>
      <c r="K9" t="s">
        <v>74</v>
      </c>
      <c r="L9" t="s">
        <v>74</v>
      </c>
      <c r="M9" t="s">
        <v>74</v>
      </c>
      <c r="N9" t="s">
        <v>78</v>
      </c>
      <c r="O9" t="s">
        <v>74</v>
      </c>
      <c r="P9" t="s">
        <v>74</v>
      </c>
      <c r="Q9" t="s">
        <v>74</v>
      </c>
      <c r="R9" t="s">
        <v>74</v>
      </c>
      <c r="S9" t="s">
        <v>74</v>
      </c>
      <c r="T9" t="s">
        <v>74</v>
      </c>
      <c r="U9" t="s">
        <v>7854</v>
      </c>
      <c r="V9" t="s">
        <v>7855</v>
      </c>
      <c r="W9" t="s">
        <v>74</v>
      </c>
      <c r="X9" t="s">
        <v>74</v>
      </c>
      <c r="Y9" t="s">
        <v>7856</v>
      </c>
      <c r="Z9" t="s">
        <v>74</v>
      </c>
      <c r="AA9" t="s">
        <v>74</v>
      </c>
      <c r="AB9" t="s">
        <v>74</v>
      </c>
      <c r="AC9" t="s">
        <v>74</v>
      </c>
      <c r="AD9" t="s">
        <v>74</v>
      </c>
      <c r="AE9" t="s">
        <v>74</v>
      </c>
      <c r="AF9" t="s">
        <v>74</v>
      </c>
      <c r="AG9">
        <v>54</v>
      </c>
      <c r="AH9">
        <v>447</v>
      </c>
      <c r="AI9">
        <v>452</v>
      </c>
      <c r="AJ9">
        <v>7</v>
      </c>
      <c r="AK9">
        <v>43</v>
      </c>
      <c r="AL9" t="s">
        <v>74</v>
      </c>
      <c r="AM9" t="s">
        <v>74</v>
      </c>
      <c r="AN9" t="s">
        <v>74</v>
      </c>
      <c r="AO9" t="s">
        <v>4704</v>
      </c>
      <c r="AP9" t="s">
        <v>74</v>
      </c>
      <c r="AQ9" t="s">
        <v>74</v>
      </c>
      <c r="AR9" t="s">
        <v>74</v>
      </c>
      <c r="AS9" t="s">
        <v>74</v>
      </c>
      <c r="AT9" t="s">
        <v>503</v>
      </c>
      <c r="AU9">
        <v>1995</v>
      </c>
      <c r="AV9">
        <v>177</v>
      </c>
      <c r="AW9">
        <v>14</v>
      </c>
      <c r="AX9" t="s">
        <v>74</v>
      </c>
      <c r="AY9" t="s">
        <v>74</v>
      </c>
      <c r="AZ9" t="s">
        <v>74</v>
      </c>
      <c r="BA9" t="s">
        <v>74</v>
      </c>
      <c r="BB9">
        <v>3998</v>
      </c>
      <c r="BC9">
        <v>4008</v>
      </c>
      <c r="BD9" t="s">
        <v>74</v>
      </c>
      <c r="BE9" t="s">
        <v>7857</v>
      </c>
      <c r="BF9" t="str">
        <f>HYPERLINK("http://dx.doi.org/10.1128/jb.177.14.3998-4008.1995","http://dx.doi.org/10.1128/jb.177.14.3998-4008.1995")</f>
        <v>http://dx.doi.org/10.1128/jb.177.14.3998-4008.1995</v>
      </c>
      <c r="BG9" t="s">
        <v>74</v>
      </c>
      <c r="BH9" t="s">
        <v>74</v>
      </c>
      <c r="BI9" t="s">
        <v>74</v>
      </c>
      <c r="BJ9" t="s">
        <v>1699</v>
      </c>
      <c r="BK9" t="s">
        <v>112</v>
      </c>
      <c r="BL9" t="s">
        <v>1699</v>
      </c>
      <c r="BM9" t="s">
        <v>74</v>
      </c>
      <c r="BN9">
        <v>7608073</v>
      </c>
      <c r="BO9" t="s">
        <v>74</v>
      </c>
      <c r="BP9" t="s">
        <v>74</v>
      </c>
      <c r="BQ9" t="s">
        <v>74</v>
      </c>
      <c r="BR9" t="s">
        <v>93</v>
      </c>
      <c r="BS9" t="s">
        <v>7858</v>
      </c>
      <c r="BT9" t="str">
        <f>HYPERLINK("https%3A%2F%2Fwww.webofscience.com%2Fwos%2Fwoscc%2Ffull-record%2FWOS:A1995RH81000016","View Full Record in Web of Science")</f>
        <v>View Full Record in Web of Science</v>
      </c>
    </row>
    <row r="10" spans="1:72" x14ac:dyDescent="0.15">
      <c r="A10" t="s">
        <v>72</v>
      </c>
      <c r="B10" t="s">
        <v>11037</v>
      </c>
      <c r="C10" t="s">
        <v>74</v>
      </c>
      <c r="D10" t="s">
        <v>74</v>
      </c>
      <c r="E10" t="s">
        <v>74</v>
      </c>
      <c r="F10" t="s">
        <v>11037</v>
      </c>
      <c r="G10" t="s">
        <v>74</v>
      </c>
      <c r="H10" t="s">
        <v>74</v>
      </c>
      <c r="I10" t="s">
        <v>11038</v>
      </c>
      <c r="J10" t="s">
        <v>9181</v>
      </c>
      <c r="K10" t="s">
        <v>74</v>
      </c>
      <c r="L10" t="s">
        <v>74</v>
      </c>
      <c r="M10" t="s">
        <v>74</v>
      </c>
      <c r="N10" t="s">
        <v>78</v>
      </c>
      <c r="O10" t="s">
        <v>74</v>
      </c>
      <c r="P10" t="s">
        <v>74</v>
      </c>
      <c r="Q10" t="s">
        <v>74</v>
      </c>
      <c r="R10" t="s">
        <v>74</v>
      </c>
      <c r="S10" t="s">
        <v>74</v>
      </c>
      <c r="T10" t="s">
        <v>74</v>
      </c>
      <c r="U10" t="s">
        <v>11039</v>
      </c>
      <c r="V10" t="s">
        <v>11040</v>
      </c>
      <c r="W10" t="s">
        <v>11041</v>
      </c>
      <c r="X10" t="s">
        <v>11042</v>
      </c>
      <c r="Y10" t="s">
        <v>74</v>
      </c>
      <c r="Z10" t="s">
        <v>74</v>
      </c>
      <c r="AA10" t="s">
        <v>74</v>
      </c>
      <c r="AB10" t="s">
        <v>11043</v>
      </c>
      <c r="AC10" t="s">
        <v>74</v>
      </c>
      <c r="AD10" t="s">
        <v>74</v>
      </c>
      <c r="AE10" t="s">
        <v>74</v>
      </c>
      <c r="AF10" t="s">
        <v>74</v>
      </c>
      <c r="AG10">
        <v>79</v>
      </c>
      <c r="AH10">
        <v>419</v>
      </c>
      <c r="AI10">
        <v>423</v>
      </c>
      <c r="AJ10">
        <v>1</v>
      </c>
      <c r="AK10">
        <v>7</v>
      </c>
      <c r="AL10" t="s">
        <v>74</v>
      </c>
      <c r="AM10" t="s">
        <v>74</v>
      </c>
      <c r="AN10" t="s">
        <v>74</v>
      </c>
      <c r="AO10" t="s">
        <v>9189</v>
      </c>
      <c r="AP10" t="s">
        <v>74</v>
      </c>
      <c r="AQ10" t="s">
        <v>74</v>
      </c>
      <c r="AR10" t="s">
        <v>74</v>
      </c>
      <c r="AS10" t="s">
        <v>74</v>
      </c>
      <c r="AT10" t="s">
        <v>129</v>
      </c>
      <c r="AU10">
        <v>1992</v>
      </c>
      <c r="AV10">
        <v>151</v>
      </c>
      <c r="AW10">
        <v>1</v>
      </c>
      <c r="AX10" t="s">
        <v>74</v>
      </c>
      <c r="AY10" t="s">
        <v>74</v>
      </c>
      <c r="AZ10" t="s">
        <v>74</v>
      </c>
      <c r="BA10" t="s">
        <v>74</v>
      </c>
      <c r="BB10">
        <v>81</v>
      </c>
      <c r="BC10">
        <v>93</v>
      </c>
      <c r="BD10" t="s">
        <v>74</v>
      </c>
      <c r="BE10" t="s">
        <v>11044</v>
      </c>
      <c r="BF10" t="str">
        <f>HYPERLINK("http://dx.doi.org/10.1002/jcp.1041510113","http://dx.doi.org/10.1002/jcp.1041510113")</f>
        <v>http://dx.doi.org/10.1002/jcp.1041510113</v>
      </c>
      <c r="BG10" t="s">
        <v>74</v>
      </c>
      <c r="BH10" t="s">
        <v>74</v>
      </c>
      <c r="BI10" t="s">
        <v>74</v>
      </c>
      <c r="BJ10" t="s">
        <v>4691</v>
      </c>
      <c r="BK10" t="s">
        <v>112</v>
      </c>
      <c r="BL10" t="s">
        <v>4691</v>
      </c>
      <c r="BM10" t="s">
        <v>74</v>
      </c>
      <c r="BN10">
        <v>1560052</v>
      </c>
      <c r="BO10" t="s">
        <v>74</v>
      </c>
      <c r="BP10" t="s">
        <v>74</v>
      </c>
      <c r="BQ10" t="s">
        <v>74</v>
      </c>
      <c r="BR10" t="s">
        <v>93</v>
      </c>
      <c r="BS10" t="s">
        <v>11045</v>
      </c>
      <c r="BT10" t="str">
        <f>HYPERLINK("https%3A%2F%2Fwww.webofscience.com%2Fwos%2Fwoscc%2Ffull-record%2FWOS:A1992HM96000012","View Full Record in Web of Science")</f>
        <v>View Full Record in Web of Science</v>
      </c>
    </row>
    <row r="11" spans="1:72" x14ac:dyDescent="0.15">
      <c r="A11" t="s">
        <v>72</v>
      </c>
      <c r="B11" t="s">
        <v>2151</v>
      </c>
      <c r="C11" t="s">
        <v>74</v>
      </c>
      <c r="D11" t="s">
        <v>74</v>
      </c>
      <c r="E11" t="s">
        <v>74</v>
      </c>
      <c r="F11" t="s">
        <v>2152</v>
      </c>
      <c r="G11" t="s">
        <v>74</v>
      </c>
      <c r="H11" t="s">
        <v>74</v>
      </c>
      <c r="I11" t="s">
        <v>2153</v>
      </c>
      <c r="J11" t="s">
        <v>2154</v>
      </c>
      <c r="K11" t="s">
        <v>74</v>
      </c>
      <c r="L11" t="s">
        <v>74</v>
      </c>
      <c r="M11" t="s">
        <v>74</v>
      </c>
      <c r="N11" t="s">
        <v>78</v>
      </c>
      <c r="O11" t="s">
        <v>74</v>
      </c>
      <c r="P11" t="s">
        <v>74</v>
      </c>
      <c r="Q11" t="s">
        <v>74</v>
      </c>
      <c r="R11" t="s">
        <v>74</v>
      </c>
      <c r="S11" t="s">
        <v>74</v>
      </c>
      <c r="T11" t="s">
        <v>74</v>
      </c>
      <c r="U11" t="s">
        <v>2155</v>
      </c>
      <c r="V11" t="s">
        <v>2156</v>
      </c>
      <c r="W11" t="s">
        <v>2157</v>
      </c>
      <c r="X11" t="s">
        <v>2158</v>
      </c>
      <c r="Y11" t="s">
        <v>2159</v>
      </c>
      <c r="Z11" t="s">
        <v>2160</v>
      </c>
      <c r="AA11" t="s">
        <v>74</v>
      </c>
      <c r="AB11" t="s">
        <v>74</v>
      </c>
      <c r="AC11" t="s">
        <v>74</v>
      </c>
      <c r="AD11" t="s">
        <v>74</v>
      </c>
      <c r="AE11" t="s">
        <v>74</v>
      </c>
      <c r="AF11" t="s">
        <v>74</v>
      </c>
      <c r="AG11">
        <v>50</v>
      </c>
      <c r="AH11">
        <v>367</v>
      </c>
      <c r="AI11">
        <v>378</v>
      </c>
      <c r="AJ11">
        <v>44</v>
      </c>
      <c r="AK11">
        <v>437</v>
      </c>
      <c r="AL11" t="s">
        <v>74</v>
      </c>
      <c r="AM11" t="s">
        <v>74</v>
      </c>
      <c r="AN11" t="s">
        <v>74</v>
      </c>
      <c r="AO11" t="s">
        <v>2161</v>
      </c>
      <c r="AP11" t="s">
        <v>2162</v>
      </c>
      <c r="AQ11" t="s">
        <v>74</v>
      </c>
      <c r="AR11" t="s">
        <v>74</v>
      </c>
      <c r="AS11" t="s">
        <v>74</v>
      </c>
      <c r="AT11" t="s">
        <v>74</v>
      </c>
      <c r="AU11">
        <v>2014</v>
      </c>
      <c r="AV11">
        <v>14</v>
      </c>
      <c r="AW11">
        <v>11</v>
      </c>
      <c r="AX11" t="s">
        <v>74</v>
      </c>
      <c r="AY11" t="s">
        <v>74</v>
      </c>
      <c r="AZ11" t="s">
        <v>74</v>
      </c>
      <c r="BA11" t="s">
        <v>74</v>
      </c>
      <c r="BB11">
        <v>1891</v>
      </c>
      <c r="BC11">
        <v>1900</v>
      </c>
      <c r="BD11" t="s">
        <v>74</v>
      </c>
      <c r="BE11" t="s">
        <v>2163</v>
      </c>
      <c r="BF11" t="str">
        <f>HYPERLINK("http://dx.doi.org/10.1039/c4lc00136b","http://dx.doi.org/10.1039/c4lc00136b")</f>
        <v>http://dx.doi.org/10.1039/c4lc00136b</v>
      </c>
      <c r="BG11" t="s">
        <v>74</v>
      </c>
      <c r="BH11" t="s">
        <v>74</v>
      </c>
      <c r="BI11" t="s">
        <v>74</v>
      </c>
      <c r="BJ11" t="s">
        <v>2164</v>
      </c>
      <c r="BK11" t="s">
        <v>112</v>
      </c>
      <c r="BL11" t="s">
        <v>2165</v>
      </c>
      <c r="BM11" t="s">
        <v>74</v>
      </c>
      <c r="BN11">
        <v>24722878</v>
      </c>
      <c r="BO11" t="s">
        <v>74</v>
      </c>
      <c r="BP11" t="s">
        <v>420</v>
      </c>
      <c r="BQ11" t="s">
        <v>421</v>
      </c>
      <c r="BR11" t="s">
        <v>93</v>
      </c>
      <c r="BS11" t="s">
        <v>2166</v>
      </c>
      <c r="BT11" t="str">
        <f>HYPERLINK("https%3A%2F%2Fwww.webofscience.com%2Fwos%2Fwoscc%2Ffull-record%2FWOS:000335925400014","View Full Record in Web of Science")</f>
        <v>View Full Record in Web of Science</v>
      </c>
    </row>
    <row r="12" spans="1:72" x14ac:dyDescent="0.15">
      <c r="A12" t="s">
        <v>72</v>
      </c>
      <c r="B12" t="s">
        <v>6511</v>
      </c>
      <c r="C12" t="s">
        <v>74</v>
      </c>
      <c r="D12" t="s">
        <v>74</v>
      </c>
      <c r="E12" t="s">
        <v>74</v>
      </c>
      <c r="F12" t="s">
        <v>6511</v>
      </c>
      <c r="G12" t="s">
        <v>74</v>
      </c>
      <c r="H12" t="s">
        <v>74</v>
      </c>
      <c r="I12" t="s">
        <v>6512</v>
      </c>
      <c r="J12" t="s">
        <v>5293</v>
      </c>
      <c r="K12" t="s">
        <v>74</v>
      </c>
      <c r="L12" t="s">
        <v>74</v>
      </c>
      <c r="M12" t="s">
        <v>74</v>
      </c>
      <c r="N12" t="s">
        <v>78</v>
      </c>
      <c r="O12" t="s">
        <v>74</v>
      </c>
      <c r="P12" t="s">
        <v>74</v>
      </c>
      <c r="Q12" t="s">
        <v>74</v>
      </c>
      <c r="R12" t="s">
        <v>74</v>
      </c>
      <c r="S12" t="s">
        <v>74</v>
      </c>
      <c r="T12" t="s">
        <v>74</v>
      </c>
      <c r="U12" t="s">
        <v>6513</v>
      </c>
      <c r="V12" t="s">
        <v>6514</v>
      </c>
      <c r="W12" t="s">
        <v>6515</v>
      </c>
      <c r="X12" t="s">
        <v>6516</v>
      </c>
      <c r="Y12" t="s">
        <v>6517</v>
      </c>
      <c r="Z12" t="s">
        <v>4074</v>
      </c>
      <c r="AA12" t="s">
        <v>6518</v>
      </c>
      <c r="AB12" t="s">
        <v>6519</v>
      </c>
      <c r="AC12" t="s">
        <v>74</v>
      </c>
      <c r="AD12" t="s">
        <v>74</v>
      </c>
      <c r="AE12" t="s">
        <v>74</v>
      </c>
      <c r="AF12" t="s">
        <v>74</v>
      </c>
      <c r="AG12">
        <v>34</v>
      </c>
      <c r="AH12">
        <v>356</v>
      </c>
      <c r="AI12">
        <v>372</v>
      </c>
      <c r="AJ12">
        <v>0</v>
      </c>
      <c r="AK12">
        <v>19</v>
      </c>
      <c r="AL12" t="s">
        <v>74</v>
      </c>
      <c r="AM12" t="s">
        <v>74</v>
      </c>
      <c r="AN12" t="s">
        <v>74</v>
      </c>
      <c r="AO12" t="s">
        <v>5300</v>
      </c>
      <c r="AP12" t="s">
        <v>5301</v>
      </c>
      <c r="AQ12" t="s">
        <v>74</v>
      </c>
      <c r="AR12" t="s">
        <v>74</v>
      </c>
      <c r="AS12" t="s">
        <v>74</v>
      </c>
      <c r="AT12" t="s">
        <v>2586</v>
      </c>
      <c r="AU12">
        <v>2005</v>
      </c>
      <c r="AV12">
        <v>11</v>
      </c>
      <c r="AW12">
        <v>3</v>
      </c>
      <c r="AX12" t="s">
        <v>74</v>
      </c>
      <c r="AY12" t="s">
        <v>74</v>
      </c>
      <c r="AZ12" t="s">
        <v>74</v>
      </c>
      <c r="BA12" t="s">
        <v>74</v>
      </c>
      <c r="BB12">
        <v>1010</v>
      </c>
      <c r="BC12">
        <v>1020</v>
      </c>
      <c r="BD12" t="s">
        <v>74</v>
      </c>
      <c r="BE12" t="s">
        <v>74</v>
      </c>
      <c r="BF12" t="s">
        <v>74</v>
      </c>
      <c r="BG12" t="s">
        <v>74</v>
      </c>
      <c r="BH12" t="s">
        <v>74</v>
      </c>
      <c r="BI12" t="s">
        <v>74</v>
      </c>
      <c r="BJ12" t="s">
        <v>146</v>
      </c>
      <c r="BK12" t="s">
        <v>112</v>
      </c>
      <c r="BL12" t="s">
        <v>146</v>
      </c>
      <c r="BM12" t="s">
        <v>74</v>
      </c>
      <c r="BN12">
        <v>15709166</v>
      </c>
      <c r="BO12" t="s">
        <v>74</v>
      </c>
      <c r="BP12" t="s">
        <v>74</v>
      </c>
      <c r="BQ12" t="s">
        <v>74</v>
      </c>
      <c r="BR12" t="s">
        <v>93</v>
      </c>
      <c r="BS12" t="s">
        <v>6520</v>
      </c>
      <c r="BT12" t="str">
        <f>HYPERLINK("https%3A%2F%2Fwww.webofscience.com%2Fwos%2Fwoscc%2Ffull-record%2FWOS:000226740400008","View Full Record in Web of Science")</f>
        <v>View Full Record in Web of Science</v>
      </c>
    </row>
    <row r="13" spans="1:72" x14ac:dyDescent="0.15">
      <c r="A13" t="s">
        <v>72</v>
      </c>
      <c r="B13" t="s">
        <v>6325</v>
      </c>
      <c r="C13" t="s">
        <v>74</v>
      </c>
      <c r="D13" t="s">
        <v>74</v>
      </c>
      <c r="E13" t="s">
        <v>74</v>
      </c>
      <c r="F13" t="s">
        <v>6326</v>
      </c>
      <c r="G13" t="s">
        <v>74</v>
      </c>
      <c r="H13" t="s">
        <v>74</v>
      </c>
      <c r="I13" t="s">
        <v>6327</v>
      </c>
      <c r="J13" t="s">
        <v>6328</v>
      </c>
      <c r="K13" t="s">
        <v>74</v>
      </c>
      <c r="L13" t="s">
        <v>74</v>
      </c>
      <c r="M13" t="s">
        <v>74</v>
      </c>
      <c r="N13" t="s">
        <v>78</v>
      </c>
      <c r="O13" t="s">
        <v>74</v>
      </c>
      <c r="P13" t="s">
        <v>74</v>
      </c>
      <c r="Q13" t="s">
        <v>74</v>
      </c>
      <c r="R13" t="s">
        <v>74</v>
      </c>
      <c r="S13" t="s">
        <v>74</v>
      </c>
      <c r="T13" t="s">
        <v>74</v>
      </c>
      <c r="U13" t="s">
        <v>6329</v>
      </c>
      <c r="V13" t="s">
        <v>6330</v>
      </c>
      <c r="W13" t="s">
        <v>6331</v>
      </c>
      <c r="X13" t="s">
        <v>4072</v>
      </c>
      <c r="Y13" t="s">
        <v>6332</v>
      </c>
      <c r="Z13" t="s">
        <v>6333</v>
      </c>
      <c r="AA13" t="s">
        <v>74</v>
      </c>
      <c r="AB13" t="s">
        <v>6334</v>
      </c>
      <c r="AC13" t="s">
        <v>74</v>
      </c>
      <c r="AD13" t="s">
        <v>74</v>
      </c>
      <c r="AE13" t="s">
        <v>74</v>
      </c>
      <c r="AF13" t="s">
        <v>74</v>
      </c>
      <c r="AG13">
        <v>51</v>
      </c>
      <c r="AH13">
        <v>352</v>
      </c>
      <c r="AI13">
        <v>363</v>
      </c>
      <c r="AJ13">
        <v>0</v>
      </c>
      <c r="AK13">
        <v>17</v>
      </c>
      <c r="AL13" t="s">
        <v>74</v>
      </c>
      <c r="AM13" t="s">
        <v>74</v>
      </c>
      <c r="AN13" t="s">
        <v>74</v>
      </c>
      <c r="AO13" t="s">
        <v>6335</v>
      </c>
      <c r="AP13" t="s">
        <v>6336</v>
      </c>
      <c r="AQ13" t="s">
        <v>74</v>
      </c>
      <c r="AR13" t="s">
        <v>74</v>
      </c>
      <c r="AS13" t="s">
        <v>74</v>
      </c>
      <c r="AT13" t="s">
        <v>4316</v>
      </c>
      <c r="AU13">
        <v>2009</v>
      </c>
      <c r="AV13">
        <v>183</v>
      </c>
      <c r="AW13">
        <v>6</v>
      </c>
      <c r="AX13" t="s">
        <v>74</v>
      </c>
      <c r="AY13" t="s">
        <v>74</v>
      </c>
      <c r="AZ13" t="s">
        <v>74</v>
      </c>
      <c r="BA13" t="s">
        <v>74</v>
      </c>
      <c r="BB13">
        <v>3720</v>
      </c>
      <c r="BC13">
        <v>3730</v>
      </c>
      <c r="BD13" t="s">
        <v>74</v>
      </c>
      <c r="BE13" t="s">
        <v>6337</v>
      </c>
      <c r="BF13" t="str">
        <f>HYPERLINK("http://dx.doi.org/10.4049/jimmunol.0900970","http://dx.doi.org/10.4049/jimmunol.0900970")</f>
        <v>http://dx.doi.org/10.4049/jimmunol.0900970</v>
      </c>
      <c r="BG13" t="s">
        <v>74</v>
      </c>
      <c r="BH13" t="s">
        <v>74</v>
      </c>
      <c r="BI13" t="s">
        <v>74</v>
      </c>
      <c r="BJ13" t="s">
        <v>2276</v>
      </c>
      <c r="BK13" t="s">
        <v>112</v>
      </c>
      <c r="BL13" t="s">
        <v>2276</v>
      </c>
      <c r="BM13" t="s">
        <v>74</v>
      </c>
      <c r="BN13">
        <v>19692638</v>
      </c>
      <c r="BO13" t="s">
        <v>74</v>
      </c>
      <c r="BP13" t="s">
        <v>74</v>
      </c>
      <c r="BQ13" t="s">
        <v>74</v>
      </c>
      <c r="BR13" t="s">
        <v>93</v>
      </c>
      <c r="BS13" t="s">
        <v>6338</v>
      </c>
      <c r="BT13" t="str">
        <f>HYPERLINK("https%3A%2F%2Fwww.webofscience.com%2Fwos%2Fwoscc%2Ffull-record%2FWOS:000270179700023","View Full Record in Web of Science")</f>
        <v>View Full Record in Web of Science</v>
      </c>
    </row>
    <row r="14" spans="1:72" x14ac:dyDescent="0.15">
      <c r="A14" t="s">
        <v>72</v>
      </c>
      <c r="B14" t="s">
        <v>9208</v>
      </c>
      <c r="C14" t="s">
        <v>74</v>
      </c>
      <c r="D14" t="s">
        <v>74</v>
      </c>
      <c r="E14" t="s">
        <v>74</v>
      </c>
      <c r="F14" t="s">
        <v>9209</v>
      </c>
      <c r="G14" t="s">
        <v>74</v>
      </c>
      <c r="H14" t="s">
        <v>74</v>
      </c>
      <c r="I14" t="s">
        <v>9210</v>
      </c>
      <c r="J14" t="s">
        <v>9211</v>
      </c>
      <c r="K14" t="s">
        <v>74</v>
      </c>
      <c r="L14" t="s">
        <v>74</v>
      </c>
      <c r="M14" t="s">
        <v>74</v>
      </c>
      <c r="N14" t="s">
        <v>78</v>
      </c>
      <c r="O14" t="s">
        <v>74</v>
      </c>
      <c r="P14" t="s">
        <v>74</v>
      </c>
      <c r="Q14" t="s">
        <v>74</v>
      </c>
      <c r="R14" t="s">
        <v>74</v>
      </c>
      <c r="S14" t="s">
        <v>74</v>
      </c>
      <c r="T14" t="s">
        <v>74</v>
      </c>
      <c r="U14" t="s">
        <v>9212</v>
      </c>
      <c r="V14" t="s">
        <v>9213</v>
      </c>
      <c r="W14" t="s">
        <v>9214</v>
      </c>
      <c r="X14" t="s">
        <v>9215</v>
      </c>
      <c r="Y14" t="s">
        <v>9216</v>
      </c>
      <c r="Z14" t="s">
        <v>9217</v>
      </c>
      <c r="AA14" t="s">
        <v>9218</v>
      </c>
      <c r="AB14" t="s">
        <v>9219</v>
      </c>
      <c r="AC14" t="s">
        <v>74</v>
      </c>
      <c r="AD14" t="s">
        <v>74</v>
      </c>
      <c r="AE14" t="s">
        <v>74</v>
      </c>
      <c r="AF14" t="s">
        <v>74</v>
      </c>
      <c r="AG14">
        <v>29</v>
      </c>
      <c r="AH14">
        <v>351</v>
      </c>
      <c r="AI14">
        <v>357</v>
      </c>
      <c r="AJ14">
        <v>7</v>
      </c>
      <c r="AK14">
        <v>96</v>
      </c>
      <c r="AL14" t="s">
        <v>74</v>
      </c>
      <c r="AM14" t="s">
        <v>74</v>
      </c>
      <c r="AN14" t="s">
        <v>74</v>
      </c>
      <c r="AO14" t="s">
        <v>9220</v>
      </c>
      <c r="AP14" t="s">
        <v>9221</v>
      </c>
      <c r="AQ14" t="s">
        <v>74</v>
      </c>
      <c r="AR14" t="s">
        <v>74</v>
      </c>
      <c r="AS14" t="s">
        <v>74</v>
      </c>
      <c r="AT14" t="s">
        <v>236</v>
      </c>
      <c r="AU14">
        <v>2013</v>
      </c>
      <c r="AV14">
        <v>24</v>
      </c>
      <c r="AW14">
        <v>11</v>
      </c>
      <c r="AX14" t="s">
        <v>74</v>
      </c>
      <c r="AY14" t="s">
        <v>74</v>
      </c>
      <c r="AZ14" t="s">
        <v>74</v>
      </c>
      <c r="BA14" t="s">
        <v>74</v>
      </c>
      <c r="BB14">
        <v>1901</v>
      </c>
      <c r="BC14">
        <v>1912</v>
      </c>
      <c r="BD14" t="s">
        <v>74</v>
      </c>
      <c r="BE14" t="s">
        <v>9222</v>
      </c>
      <c r="BF14" t="str">
        <f>HYPERLINK("http://dx.doi.org/10.1681/ASN.2013020126","http://dx.doi.org/10.1681/ASN.2013020126")</f>
        <v>http://dx.doi.org/10.1681/ASN.2013020126</v>
      </c>
      <c r="BG14" t="s">
        <v>74</v>
      </c>
      <c r="BH14" t="s">
        <v>74</v>
      </c>
      <c r="BI14" t="s">
        <v>74</v>
      </c>
      <c r="BJ14" t="s">
        <v>1293</v>
      </c>
      <c r="BK14" t="s">
        <v>112</v>
      </c>
      <c r="BL14" t="s">
        <v>1293</v>
      </c>
      <c r="BM14" t="s">
        <v>74</v>
      </c>
      <c r="BN14">
        <v>23949796</v>
      </c>
      <c r="BO14" t="s">
        <v>74</v>
      </c>
      <c r="BP14" t="s">
        <v>420</v>
      </c>
      <c r="BQ14" t="s">
        <v>421</v>
      </c>
      <c r="BR14" t="s">
        <v>93</v>
      </c>
      <c r="BS14" t="s">
        <v>9223</v>
      </c>
      <c r="BT14" t="str">
        <f>HYPERLINK("https%3A%2F%2Fwww.webofscience.com%2Fwos%2Fwoscc%2Ffull-record%2FWOS:000329911300021","View Full Record in Web of Science")</f>
        <v>View Full Record in Web of Science</v>
      </c>
    </row>
    <row r="15" spans="1:72" x14ac:dyDescent="0.15">
      <c r="A15" t="s">
        <v>72</v>
      </c>
      <c r="B15" t="s">
        <v>6681</v>
      </c>
      <c r="C15" t="s">
        <v>74</v>
      </c>
      <c r="D15" t="s">
        <v>74</v>
      </c>
      <c r="E15" t="s">
        <v>74</v>
      </c>
      <c r="F15" t="s">
        <v>6682</v>
      </c>
      <c r="G15" t="s">
        <v>74</v>
      </c>
      <c r="H15" t="s">
        <v>74</v>
      </c>
      <c r="I15" t="s">
        <v>6683</v>
      </c>
      <c r="J15" t="s">
        <v>6684</v>
      </c>
      <c r="K15" t="s">
        <v>74</v>
      </c>
      <c r="L15" t="s">
        <v>74</v>
      </c>
      <c r="M15" t="s">
        <v>74</v>
      </c>
      <c r="N15" t="s">
        <v>78</v>
      </c>
      <c r="O15" t="s">
        <v>74</v>
      </c>
      <c r="P15" t="s">
        <v>74</v>
      </c>
      <c r="Q15" t="s">
        <v>74</v>
      </c>
      <c r="R15" t="s">
        <v>74</v>
      </c>
      <c r="S15" t="s">
        <v>74</v>
      </c>
      <c r="T15" t="s">
        <v>74</v>
      </c>
      <c r="U15" t="s">
        <v>6685</v>
      </c>
      <c r="V15" t="s">
        <v>6686</v>
      </c>
      <c r="W15" t="s">
        <v>6687</v>
      </c>
      <c r="X15" t="s">
        <v>6688</v>
      </c>
      <c r="Y15" t="s">
        <v>6689</v>
      </c>
      <c r="Z15" t="s">
        <v>6690</v>
      </c>
      <c r="AA15" t="s">
        <v>6691</v>
      </c>
      <c r="AB15" t="s">
        <v>6692</v>
      </c>
      <c r="AC15" t="s">
        <v>74</v>
      </c>
      <c r="AD15" t="s">
        <v>74</v>
      </c>
      <c r="AE15" t="s">
        <v>74</v>
      </c>
      <c r="AF15" t="s">
        <v>74</v>
      </c>
      <c r="AG15">
        <v>107</v>
      </c>
      <c r="AH15">
        <v>348</v>
      </c>
      <c r="AI15">
        <v>365</v>
      </c>
      <c r="AJ15">
        <v>6</v>
      </c>
      <c r="AK15">
        <v>61</v>
      </c>
      <c r="AL15" t="s">
        <v>74</v>
      </c>
      <c r="AM15" t="s">
        <v>74</v>
      </c>
      <c r="AN15" t="s">
        <v>74</v>
      </c>
      <c r="AO15" t="s">
        <v>6693</v>
      </c>
      <c r="AP15" t="s">
        <v>6694</v>
      </c>
      <c r="AQ15" t="s">
        <v>74</v>
      </c>
      <c r="AR15" t="s">
        <v>74</v>
      </c>
      <c r="AS15" t="s">
        <v>74</v>
      </c>
      <c r="AT15" t="s">
        <v>74</v>
      </c>
      <c r="AU15">
        <v>2014</v>
      </c>
      <c r="AV15">
        <v>42</v>
      </c>
      <c r="AW15">
        <v>11</v>
      </c>
      <c r="AX15" t="s">
        <v>74</v>
      </c>
      <c r="AY15" t="s">
        <v>74</v>
      </c>
      <c r="AZ15" t="s">
        <v>74</v>
      </c>
      <c r="BA15" t="s">
        <v>74</v>
      </c>
      <c r="BB15">
        <v>7290</v>
      </c>
      <c r="BC15">
        <v>7304</v>
      </c>
      <c r="BD15" t="s">
        <v>74</v>
      </c>
      <c r="BE15" t="s">
        <v>6695</v>
      </c>
      <c r="BF15" t="str">
        <f>HYPERLINK("http://dx.doi.org/10.1093/nar/gku347","http://dx.doi.org/10.1093/nar/gku347")</f>
        <v>http://dx.doi.org/10.1093/nar/gku347</v>
      </c>
      <c r="BG15" t="s">
        <v>74</v>
      </c>
      <c r="BH15" t="s">
        <v>74</v>
      </c>
      <c r="BI15" t="s">
        <v>74</v>
      </c>
      <c r="BJ15" t="s">
        <v>92</v>
      </c>
      <c r="BK15" t="s">
        <v>112</v>
      </c>
      <c r="BL15" t="s">
        <v>92</v>
      </c>
      <c r="BM15" t="s">
        <v>74</v>
      </c>
      <c r="BN15">
        <v>24838567</v>
      </c>
      <c r="BO15" t="s">
        <v>74</v>
      </c>
      <c r="BP15" t="s">
        <v>420</v>
      </c>
      <c r="BQ15" t="s">
        <v>421</v>
      </c>
      <c r="BR15" t="s">
        <v>93</v>
      </c>
      <c r="BS15" t="s">
        <v>6696</v>
      </c>
      <c r="BT15" t="str">
        <f>HYPERLINK("https%3A%2F%2Fwww.webofscience.com%2Fwos%2Fwoscc%2Ffull-record%2FWOS:000338769400048","View Full Record in Web of Science")</f>
        <v>View Full Record in Web of Science</v>
      </c>
    </row>
    <row r="16" spans="1:72" x14ac:dyDescent="0.15">
      <c r="A16" t="s">
        <v>72</v>
      </c>
      <c r="B16" t="s">
        <v>11046</v>
      </c>
      <c r="C16" t="s">
        <v>74</v>
      </c>
      <c r="D16" t="s">
        <v>74</v>
      </c>
      <c r="E16" t="s">
        <v>74</v>
      </c>
      <c r="F16" t="s">
        <v>11047</v>
      </c>
      <c r="G16" t="s">
        <v>74</v>
      </c>
      <c r="H16" t="s">
        <v>74</v>
      </c>
      <c r="I16" t="s">
        <v>11048</v>
      </c>
      <c r="J16" t="s">
        <v>7087</v>
      </c>
      <c r="K16" t="s">
        <v>74</v>
      </c>
      <c r="L16" t="s">
        <v>74</v>
      </c>
      <c r="M16" t="s">
        <v>74</v>
      </c>
      <c r="N16" t="s">
        <v>78</v>
      </c>
      <c r="O16" t="s">
        <v>74</v>
      </c>
      <c r="P16" t="s">
        <v>74</v>
      </c>
      <c r="Q16" t="s">
        <v>74</v>
      </c>
      <c r="R16" t="s">
        <v>74</v>
      </c>
      <c r="S16" t="s">
        <v>74</v>
      </c>
      <c r="T16" t="s">
        <v>11049</v>
      </c>
      <c r="U16" t="s">
        <v>11050</v>
      </c>
      <c r="V16" t="s">
        <v>11051</v>
      </c>
      <c r="W16" t="s">
        <v>11052</v>
      </c>
      <c r="X16" t="s">
        <v>11053</v>
      </c>
      <c r="Y16" t="s">
        <v>11054</v>
      </c>
      <c r="Z16" t="s">
        <v>11055</v>
      </c>
      <c r="AA16" t="s">
        <v>11056</v>
      </c>
      <c r="AB16" t="s">
        <v>11057</v>
      </c>
      <c r="AC16" t="s">
        <v>74</v>
      </c>
      <c r="AD16" t="s">
        <v>74</v>
      </c>
      <c r="AE16" t="s">
        <v>74</v>
      </c>
      <c r="AF16" t="s">
        <v>74</v>
      </c>
      <c r="AG16">
        <v>55</v>
      </c>
      <c r="AH16">
        <v>344</v>
      </c>
      <c r="AI16">
        <v>353</v>
      </c>
      <c r="AJ16">
        <v>2</v>
      </c>
      <c r="AK16">
        <v>54</v>
      </c>
      <c r="AL16" t="s">
        <v>74</v>
      </c>
      <c r="AM16" t="s">
        <v>74</v>
      </c>
      <c r="AN16" t="s">
        <v>74</v>
      </c>
      <c r="AO16" t="s">
        <v>7097</v>
      </c>
      <c r="AP16" t="s">
        <v>7098</v>
      </c>
      <c r="AQ16" t="s">
        <v>74</v>
      </c>
      <c r="AR16" t="s">
        <v>74</v>
      </c>
      <c r="AS16" t="s">
        <v>74</v>
      </c>
      <c r="AT16" t="s">
        <v>1661</v>
      </c>
      <c r="AU16">
        <v>2012</v>
      </c>
      <c r="AV16">
        <v>31</v>
      </c>
      <c r="AW16">
        <v>17</v>
      </c>
      <c r="AX16" t="s">
        <v>74</v>
      </c>
      <c r="AY16" t="s">
        <v>74</v>
      </c>
      <c r="AZ16" t="s">
        <v>74</v>
      </c>
      <c r="BA16" t="s">
        <v>74</v>
      </c>
      <c r="BB16">
        <v>3513</v>
      </c>
      <c r="BC16">
        <v>3523</v>
      </c>
      <c r="BD16" t="s">
        <v>74</v>
      </c>
      <c r="BE16" t="s">
        <v>11058</v>
      </c>
      <c r="BF16" t="str">
        <f>HYPERLINK("http://dx.doi.org/10.1038/emboj.2012.183","http://dx.doi.org/10.1038/emboj.2012.183")</f>
        <v>http://dx.doi.org/10.1038/emboj.2012.183</v>
      </c>
      <c r="BG16" t="s">
        <v>74</v>
      </c>
      <c r="BH16" t="s">
        <v>74</v>
      </c>
      <c r="BI16" t="s">
        <v>74</v>
      </c>
      <c r="BJ16" t="s">
        <v>1493</v>
      </c>
      <c r="BK16" t="s">
        <v>112</v>
      </c>
      <c r="BL16" t="s">
        <v>1493</v>
      </c>
      <c r="BM16" t="s">
        <v>74</v>
      </c>
      <c r="BN16">
        <v>22773185</v>
      </c>
      <c r="BO16" t="s">
        <v>74</v>
      </c>
      <c r="BP16" t="s">
        <v>74</v>
      </c>
      <c r="BQ16" t="s">
        <v>74</v>
      </c>
      <c r="BR16" t="s">
        <v>93</v>
      </c>
      <c r="BS16" t="s">
        <v>11059</v>
      </c>
      <c r="BT16" t="str">
        <f>HYPERLINK("https%3A%2F%2Fwww.webofscience.com%2Fwos%2Fwoscc%2Ffull-record%2FWOS:000308390700003","View Full Record in Web of Science")</f>
        <v>View Full Record in Web of Science</v>
      </c>
    </row>
    <row r="17" spans="1:72" x14ac:dyDescent="0.15">
      <c r="A17" t="s">
        <v>72</v>
      </c>
      <c r="B17" t="s">
        <v>9067</v>
      </c>
      <c r="C17" t="s">
        <v>74</v>
      </c>
      <c r="D17" t="s">
        <v>74</v>
      </c>
      <c r="E17" t="s">
        <v>74</v>
      </c>
      <c r="F17" t="s">
        <v>9068</v>
      </c>
      <c r="G17" t="s">
        <v>74</v>
      </c>
      <c r="H17" t="s">
        <v>74</v>
      </c>
      <c r="I17" t="s">
        <v>9069</v>
      </c>
      <c r="J17" t="s">
        <v>8964</v>
      </c>
      <c r="K17" t="s">
        <v>74</v>
      </c>
      <c r="L17" t="s">
        <v>74</v>
      </c>
      <c r="M17" t="s">
        <v>74</v>
      </c>
      <c r="N17" t="s">
        <v>78</v>
      </c>
      <c r="O17" t="s">
        <v>74</v>
      </c>
      <c r="P17" t="s">
        <v>74</v>
      </c>
      <c r="Q17" t="s">
        <v>74</v>
      </c>
      <c r="R17" t="s">
        <v>74</v>
      </c>
      <c r="S17" t="s">
        <v>74</v>
      </c>
      <c r="T17" t="s">
        <v>74</v>
      </c>
      <c r="U17" t="s">
        <v>9070</v>
      </c>
      <c r="V17" t="s">
        <v>9071</v>
      </c>
      <c r="W17" t="s">
        <v>9072</v>
      </c>
      <c r="X17" t="s">
        <v>9073</v>
      </c>
      <c r="Y17" t="s">
        <v>9074</v>
      </c>
      <c r="Z17" t="s">
        <v>9075</v>
      </c>
      <c r="AA17" t="s">
        <v>9076</v>
      </c>
      <c r="AB17" t="s">
        <v>9077</v>
      </c>
      <c r="AC17" t="s">
        <v>74</v>
      </c>
      <c r="AD17" t="s">
        <v>74</v>
      </c>
      <c r="AE17" t="s">
        <v>74</v>
      </c>
      <c r="AF17" t="s">
        <v>74</v>
      </c>
      <c r="AG17">
        <v>60</v>
      </c>
      <c r="AH17">
        <v>329</v>
      </c>
      <c r="AI17">
        <v>337</v>
      </c>
      <c r="AJ17">
        <v>4</v>
      </c>
      <c r="AK17">
        <v>66</v>
      </c>
      <c r="AL17" t="s">
        <v>74</v>
      </c>
      <c r="AM17" t="s">
        <v>74</v>
      </c>
      <c r="AN17" t="s">
        <v>74</v>
      </c>
      <c r="AO17" t="s">
        <v>8969</v>
      </c>
      <c r="AP17" t="s">
        <v>9078</v>
      </c>
      <c r="AQ17" t="s">
        <v>74</v>
      </c>
      <c r="AR17" t="s">
        <v>74</v>
      </c>
      <c r="AS17" t="s">
        <v>74</v>
      </c>
      <c r="AT17" t="s">
        <v>5070</v>
      </c>
      <c r="AU17">
        <v>2014</v>
      </c>
      <c r="AV17">
        <v>124</v>
      </c>
      <c r="AW17">
        <v>14</v>
      </c>
      <c r="AX17" t="s">
        <v>74</v>
      </c>
      <c r="AY17" t="s">
        <v>74</v>
      </c>
      <c r="AZ17" t="s">
        <v>74</v>
      </c>
      <c r="BA17" t="s">
        <v>74</v>
      </c>
      <c r="BB17">
        <v>2173</v>
      </c>
      <c r="BC17">
        <v>2183</v>
      </c>
      <c r="BD17" t="s">
        <v>74</v>
      </c>
      <c r="BE17" t="s">
        <v>9079</v>
      </c>
      <c r="BF17" t="str">
        <f>HYPERLINK("http://dx.doi.org/10.1182/blood-2014-05-573543","http://dx.doi.org/10.1182/blood-2014-05-573543")</f>
        <v>http://dx.doi.org/10.1182/blood-2014-05-573543</v>
      </c>
      <c r="BG17" t="s">
        <v>74</v>
      </c>
      <c r="BH17" t="s">
        <v>74</v>
      </c>
      <c r="BI17" t="s">
        <v>74</v>
      </c>
      <c r="BJ17" t="s">
        <v>1899</v>
      </c>
      <c r="BK17" t="s">
        <v>112</v>
      </c>
      <c r="BL17" t="s">
        <v>1899</v>
      </c>
      <c r="BM17" t="s">
        <v>74</v>
      </c>
      <c r="BN17">
        <v>25082876</v>
      </c>
      <c r="BO17" t="s">
        <v>74</v>
      </c>
      <c r="BP17" t="s">
        <v>420</v>
      </c>
      <c r="BQ17" t="s">
        <v>421</v>
      </c>
      <c r="BR17" t="s">
        <v>93</v>
      </c>
      <c r="BS17" t="s">
        <v>9080</v>
      </c>
      <c r="BT17" t="str">
        <f>HYPERLINK("https%3A%2F%2Fwww.webofscience.com%2Fwos%2Fwoscc%2Ffull-record%2FWOS:000342763900009","View Full Record in Web of Science")</f>
        <v>View Full Record in Web of Science</v>
      </c>
    </row>
    <row r="18" spans="1:72" x14ac:dyDescent="0.15">
      <c r="A18" t="s">
        <v>72</v>
      </c>
      <c r="B18" t="s">
        <v>5073</v>
      </c>
      <c r="C18" t="s">
        <v>74</v>
      </c>
      <c r="D18" t="s">
        <v>74</v>
      </c>
      <c r="E18" t="s">
        <v>74</v>
      </c>
      <c r="F18" t="s">
        <v>5074</v>
      </c>
      <c r="G18" t="s">
        <v>74</v>
      </c>
      <c r="H18" t="s">
        <v>74</v>
      </c>
      <c r="I18" t="s">
        <v>5075</v>
      </c>
      <c r="J18" t="s">
        <v>5076</v>
      </c>
      <c r="K18" t="s">
        <v>74</v>
      </c>
      <c r="L18" t="s">
        <v>74</v>
      </c>
      <c r="M18" t="s">
        <v>74</v>
      </c>
      <c r="N18" t="s">
        <v>78</v>
      </c>
      <c r="O18" t="s">
        <v>74</v>
      </c>
      <c r="P18" t="s">
        <v>74</v>
      </c>
      <c r="Q18" t="s">
        <v>74</v>
      </c>
      <c r="R18" t="s">
        <v>74</v>
      </c>
      <c r="S18" t="s">
        <v>74</v>
      </c>
      <c r="T18" t="s">
        <v>5077</v>
      </c>
      <c r="U18" t="s">
        <v>5078</v>
      </c>
      <c r="V18" t="s">
        <v>5079</v>
      </c>
      <c r="W18" t="s">
        <v>5080</v>
      </c>
      <c r="X18" t="s">
        <v>5081</v>
      </c>
      <c r="Y18" t="s">
        <v>5082</v>
      </c>
      <c r="Z18" t="s">
        <v>5083</v>
      </c>
      <c r="AA18" t="s">
        <v>5084</v>
      </c>
      <c r="AB18" t="s">
        <v>5085</v>
      </c>
      <c r="AC18" t="s">
        <v>74</v>
      </c>
      <c r="AD18" t="s">
        <v>74</v>
      </c>
      <c r="AE18" t="s">
        <v>74</v>
      </c>
      <c r="AF18" t="s">
        <v>74</v>
      </c>
      <c r="AG18">
        <v>45</v>
      </c>
      <c r="AH18">
        <v>302</v>
      </c>
      <c r="AI18">
        <v>312</v>
      </c>
      <c r="AJ18">
        <v>32</v>
      </c>
      <c r="AK18">
        <v>130</v>
      </c>
      <c r="AL18" t="s">
        <v>74</v>
      </c>
      <c r="AM18" t="s">
        <v>74</v>
      </c>
      <c r="AN18" t="s">
        <v>74</v>
      </c>
      <c r="AO18" t="s">
        <v>5086</v>
      </c>
      <c r="AP18" t="s">
        <v>5087</v>
      </c>
      <c r="AQ18" t="s">
        <v>74</v>
      </c>
      <c r="AR18" t="s">
        <v>74</v>
      </c>
      <c r="AS18" t="s">
        <v>74</v>
      </c>
      <c r="AT18" t="s">
        <v>5088</v>
      </c>
      <c r="AU18">
        <v>2016</v>
      </c>
      <c r="AV18">
        <v>18</v>
      </c>
      <c r="AW18" t="s">
        <v>74</v>
      </c>
      <c r="AX18" t="s">
        <v>74</v>
      </c>
      <c r="AY18" t="s">
        <v>74</v>
      </c>
      <c r="AZ18" t="s">
        <v>74</v>
      </c>
      <c r="BA18" t="s">
        <v>74</v>
      </c>
      <c r="BB18" t="s">
        <v>74</v>
      </c>
      <c r="BC18" t="s">
        <v>74</v>
      </c>
      <c r="BD18">
        <v>90</v>
      </c>
      <c r="BE18" t="s">
        <v>5089</v>
      </c>
      <c r="BF18" t="str">
        <f>HYPERLINK("http://dx.doi.org/10.1186/s13058-016-0753-x","http://dx.doi.org/10.1186/s13058-016-0753-x")</f>
        <v>http://dx.doi.org/10.1186/s13058-016-0753-x</v>
      </c>
      <c r="BG18" t="s">
        <v>74</v>
      </c>
      <c r="BH18" t="s">
        <v>74</v>
      </c>
      <c r="BI18" t="s">
        <v>74</v>
      </c>
      <c r="BJ18" t="s">
        <v>146</v>
      </c>
      <c r="BK18" t="s">
        <v>112</v>
      </c>
      <c r="BL18" t="s">
        <v>146</v>
      </c>
      <c r="BM18" t="s">
        <v>74</v>
      </c>
      <c r="BN18">
        <v>27608715</v>
      </c>
      <c r="BO18" t="s">
        <v>74</v>
      </c>
      <c r="BP18" t="s">
        <v>420</v>
      </c>
      <c r="BQ18" t="s">
        <v>421</v>
      </c>
      <c r="BR18" t="s">
        <v>93</v>
      </c>
      <c r="BS18" t="s">
        <v>5090</v>
      </c>
      <c r="BT18" t="str">
        <f>HYPERLINK("https%3A%2F%2Fwww.webofscience.com%2Fwos%2Fwoscc%2Ffull-record%2FWOS:000383431300001","View Full Record in Web of Science")</f>
        <v>View Full Record in Web of Science</v>
      </c>
    </row>
    <row r="19" spans="1:72" x14ac:dyDescent="0.15">
      <c r="A19" t="s">
        <v>72</v>
      </c>
      <c r="B19" t="s">
        <v>1295</v>
      </c>
      <c r="C19" t="s">
        <v>74</v>
      </c>
      <c r="D19" t="s">
        <v>74</v>
      </c>
      <c r="E19" t="s">
        <v>74</v>
      </c>
      <c r="F19" t="s">
        <v>1296</v>
      </c>
      <c r="G19" t="s">
        <v>74</v>
      </c>
      <c r="H19" t="s">
        <v>74</v>
      </c>
      <c r="I19" t="s">
        <v>1297</v>
      </c>
      <c r="J19" t="s">
        <v>1298</v>
      </c>
      <c r="K19" t="s">
        <v>74</v>
      </c>
      <c r="L19" t="s">
        <v>74</v>
      </c>
      <c r="M19" t="s">
        <v>74</v>
      </c>
      <c r="N19" t="s">
        <v>78</v>
      </c>
      <c r="O19" t="s">
        <v>74</v>
      </c>
      <c r="P19" t="s">
        <v>74</v>
      </c>
      <c r="Q19" t="s">
        <v>74</v>
      </c>
      <c r="R19" t="s">
        <v>74</v>
      </c>
      <c r="S19" t="s">
        <v>74</v>
      </c>
      <c r="T19" t="s">
        <v>1299</v>
      </c>
      <c r="U19" t="s">
        <v>1300</v>
      </c>
      <c r="V19" t="s">
        <v>1301</v>
      </c>
      <c r="W19" t="s">
        <v>1302</v>
      </c>
      <c r="X19" t="s">
        <v>1303</v>
      </c>
      <c r="Y19" t="s">
        <v>1304</v>
      </c>
      <c r="Z19" t="s">
        <v>1305</v>
      </c>
      <c r="AA19" t="s">
        <v>1306</v>
      </c>
      <c r="AB19" t="s">
        <v>1307</v>
      </c>
      <c r="AC19" t="s">
        <v>74</v>
      </c>
      <c r="AD19" t="s">
        <v>74</v>
      </c>
      <c r="AE19" t="s">
        <v>74</v>
      </c>
      <c r="AF19" t="s">
        <v>74</v>
      </c>
      <c r="AG19">
        <v>26</v>
      </c>
      <c r="AH19">
        <v>288</v>
      </c>
      <c r="AI19">
        <v>306</v>
      </c>
      <c r="AJ19">
        <v>5</v>
      </c>
      <c r="AK19">
        <v>52</v>
      </c>
      <c r="AL19" t="s">
        <v>74</v>
      </c>
      <c r="AM19" t="s">
        <v>74</v>
      </c>
      <c r="AN19" t="s">
        <v>74</v>
      </c>
      <c r="AO19" t="s">
        <v>1308</v>
      </c>
      <c r="AP19" t="s">
        <v>1309</v>
      </c>
      <c r="AQ19" t="s">
        <v>74</v>
      </c>
      <c r="AR19" t="s">
        <v>74</v>
      </c>
      <c r="AS19" t="s">
        <v>74</v>
      </c>
      <c r="AT19" t="s">
        <v>503</v>
      </c>
      <c r="AU19">
        <v>2010</v>
      </c>
      <c r="AV19">
        <v>78</v>
      </c>
      <c r="AW19">
        <v>2</v>
      </c>
      <c r="AX19" t="s">
        <v>74</v>
      </c>
      <c r="AY19" t="s">
        <v>74</v>
      </c>
      <c r="AZ19" t="s">
        <v>74</v>
      </c>
      <c r="BA19" t="s">
        <v>74</v>
      </c>
      <c r="BB19">
        <v>191</v>
      </c>
      <c r="BC19">
        <v>199</v>
      </c>
      <c r="BD19" t="s">
        <v>74</v>
      </c>
      <c r="BE19" t="s">
        <v>1310</v>
      </c>
      <c r="BF19" t="str">
        <f>HYPERLINK("http://dx.doi.org/10.1038/ki.2010.106","http://dx.doi.org/10.1038/ki.2010.106")</f>
        <v>http://dx.doi.org/10.1038/ki.2010.106</v>
      </c>
      <c r="BG19" t="s">
        <v>74</v>
      </c>
      <c r="BH19" t="s">
        <v>74</v>
      </c>
      <c r="BI19" t="s">
        <v>74</v>
      </c>
      <c r="BJ19" t="s">
        <v>1293</v>
      </c>
      <c r="BK19" t="s">
        <v>112</v>
      </c>
      <c r="BL19" t="s">
        <v>1293</v>
      </c>
      <c r="BM19" t="s">
        <v>74</v>
      </c>
      <c r="BN19">
        <v>20428099</v>
      </c>
      <c r="BO19" t="s">
        <v>74</v>
      </c>
      <c r="BP19" t="s">
        <v>74</v>
      </c>
      <c r="BQ19" t="s">
        <v>74</v>
      </c>
      <c r="BR19" t="s">
        <v>93</v>
      </c>
      <c r="BS19" t="s">
        <v>1311</v>
      </c>
      <c r="BT19" t="str">
        <f>HYPERLINK("https%3A%2F%2Fwww.webofscience.com%2Fwos%2Fwoscc%2Ffull-record%2FWOS:000279375200011","View Full Record in Web of Science")</f>
        <v>View Full Record in Web of Science</v>
      </c>
    </row>
    <row r="20" spans="1:72" x14ac:dyDescent="0.15">
      <c r="A20" t="s">
        <v>72</v>
      </c>
      <c r="B20" t="s">
        <v>4383</v>
      </c>
      <c r="C20" t="s">
        <v>74</v>
      </c>
      <c r="D20" t="s">
        <v>74</v>
      </c>
      <c r="E20" t="s">
        <v>74</v>
      </c>
      <c r="F20" t="s">
        <v>4383</v>
      </c>
      <c r="G20" t="s">
        <v>74</v>
      </c>
      <c r="H20" t="s">
        <v>74</v>
      </c>
      <c r="I20" t="s">
        <v>4384</v>
      </c>
      <c r="J20" t="s">
        <v>4385</v>
      </c>
      <c r="K20" t="s">
        <v>74</v>
      </c>
      <c r="L20" t="s">
        <v>74</v>
      </c>
      <c r="M20" t="s">
        <v>74</v>
      </c>
      <c r="N20" t="s">
        <v>78</v>
      </c>
      <c r="O20" t="s">
        <v>74</v>
      </c>
      <c r="P20" t="s">
        <v>74</v>
      </c>
      <c r="Q20" t="s">
        <v>74</v>
      </c>
      <c r="R20" t="s">
        <v>74</v>
      </c>
      <c r="S20" t="s">
        <v>74</v>
      </c>
      <c r="T20" t="s">
        <v>4386</v>
      </c>
      <c r="U20" t="s">
        <v>4387</v>
      </c>
      <c r="V20" t="s">
        <v>4388</v>
      </c>
      <c r="W20" t="s">
        <v>4389</v>
      </c>
      <c r="X20" t="s">
        <v>4390</v>
      </c>
      <c r="Y20" t="s">
        <v>4391</v>
      </c>
      <c r="Z20" t="s">
        <v>4392</v>
      </c>
      <c r="AA20" t="s">
        <v>74</v>
      </c>
      <c r="AB20" t="s">
        <v>74</v>
      </c>
      <c r="AC20" t="s">
        <v>74</v>
      </c>
      <c r="AD20" t="s">
        <v>74</v>
      </c>
      <c r="AE20" t="s">
        <v>74</v>
      </c>
      <c r="AF20" t="s">
        <v>74</v>
      </c>
      <c r="AG20">
        <v>44</v>
      </c>
      <c r="AH20">
        <v>282</v>
      </c>
      <c r="AI20">
        <v>305</v>
      </c>
      <c r="AJ20">
        <v>0</v>
      </c>
      <c r="AK20">
        <v>33</v>
      </c>
      <c r="AL20" t="s">
        <v>74</v>
      </c>
      <c r="AM20" t="s">
        <v>74</v>
      </c>
      <c r="AN20" t="s">
        <v>74</v>
      </c>
      <c r="AO20" t="s">
        <v>4393</v>
      </c>
      <c r="AP20" t="s">
        <v>4394</v>
      </c>
      <c r="AQ20" t="s">
        <v>74</v>
      </c>
      <c r="AR20" t="s">
        <v>74</v>
      </c>
      <c r="AS20" t="s">
        <v>74</v>
      </c>
      <c r="AT20" t="s">
        <v>4395</v>
      </c>
      <c r="AU20">
        <v>2005</v>
      </c>
      <c r="AV20">
        <v>92</v>
      </c>
      <c r="AW20">
        <v>2</v>
      </c>
      <c r="AX20" t="s">
        <v>74</v>
      </c>
      <c r="AY20" t="s">
        <v>74</v>
      </c>
      <c r="AZ20" t="s">
        <v>74</v>
      </c>
      <c r="BA20" t="s">
        <v>74</v>
      </c>
      <c r="BB20">
        <v>305</v>
      </c>
      <c r="BC20">
        <v>311</v>
      </c>
      <c r="BD20" t="s">
        <v>74</v>
      </c>
      <c r="BE20" t="s">
        <v>4396</v>
      </c>
      <c r="BF20" t="str">
        <f>HYPERLINK("http://dx.doi.org/10.1038/sj.bjc.6602316","http://dx.doi.org/10.1038/sj.bjc.6602316")</f>
        <v>http://dx.doi.org/10.1038/sj.bjc.6602316</v>
      </c>
      <c r="BG20" t="s">
        <v>74</v>
      </c>
      <c r="BH20" t="s">
        <v>74</v>
      </c>
      <c r="BI20" t="s">
        <v>74</v>
      </c>
      <c r="BJ20" t="s">
        <v>146</v>
      </c>
      <c r="BK20" t="s">
        <v>112</v>
      </c>
      <c r="BL20" t="s">
        <v>146</v>
      </c>
      <c r="BM20" t="s">
        <v>74</v>
      </c>
      <c r="BN20">
        <v>15655551</v>
      </c>
      <c r="BO20" t="s">
        <v>74</v>
      </c>
      <c r="BP20" t="s">
        <v>74</v>
      </c>
      <c r="BQ20" t="s">
        <v>74</v>
      </c>
      <c r="BR20" t="s">
        <v>93</v>
      </c>
      <c r="BS20" t="s">
        <v>4397</v>
      </c>
      <c r="BT20" t="str">
        <f>HYPERLINK("https%3A%2F%2Fwww.webofscience.com%2Fwos%2Fwoscc%2Ffull-record%2FWOS:000226543800019","View Full Record in Web of Science")</f>
        <v>View Full Record in Web of Science</v>
      </c>
    </row>
    <row r="21" spans="1:72" x14ac:dyDescent="0.15">
      <c r="A21" t="s">
        <v>72</v>
      </c>
      <c r="B21" t="s">
        <v>596</v>
      </c>
      <c r="C21" t="s">
        <v>74</v>
      </c>
      <c r="D21" t="s">
        <v>74</v>
      </c>
      <c r="E21" t="s">
        <v>74</v>
      </c>
      <c r="F21" t="s">
        <v>597</v>
      </c>
      <c r="G21" t="s">
        <v>74</v>
      </c>
      <c r="H21" t="s">
        <v>74</v>
      </c>
      <c r="I21" t="s">
        <v>598</v>
      </c>
      <c r="J21" t="s">
        <v>599</v>
      </c>
      <c r="K21" t="s">
        <v>74</v>
      </c>
      <c r="L21" t="s">
        <v>74</v>
      </c>
      <c r="M21" t="s">
        <v>74</v>
      </c>
      <c r="N21" t="s">
        <v>78</v>
      </c>
      <c r="O21" t="s">
        <v>74</v>
      </c>
      <c r="P21" t="s">
        <v>74</v>
      </c>
      <c r="Q21" t="s">
        <v>74</v>
      </c>
      <c r="R21" t="s">
        <v>74</v>
      </c>
      <c r="S21" t="s">
        <v>74</v>
      </c>
      <c r="T21" t="s">
        <v>600</v>
      </c>
      <c r="U21" t="s">
        <v>601</v>
      </c>
      <c r="V21" t="s">
        <v>602</v>
      </c>
      <c r="W21" t="s">
        <v>603</v>
      </c>
      <c r="X21" t="s">
        <v>604</v>
      </c>
      <c r="Y21" t="s">
        <v>605</v>
      </c>
      <c r="Z21" t="s">
        <v>606</v>
      </c>
      <c r="AA21" t="s">
        <v>607</v>
      </c>
      <c r="AB21" t="s">
        <v>608</v>
      </c>
      <c r="AC21" t="s">
        <v>74</v>
      </c>
      <c r="AD21" t="s">
        <v>74</v>
      </c>
      <c r="AE21" t="s">
        <v>74</v>
      </c>
      <c r="AF21" t="s">
        <v>74</v>
      </c>
      <c r="AG21">
        <v>75</v>
      </c>
      <c r="AH21">
        <v>274</v>
      </c>
      <c r="AI21">
        <v>291</v>
      </c>
      <c r="AJ21">
        <v>5</v>
      </c>
      <c r="AK21">
        <v>101</v>
      </c>
      <c r="AL21" t="s">
        <v>74</v>
      </c>
      <c r="AM21" t="s">
        <v>74</v>
      </c>
      <c r="AN21" t="s">
        <v>74</v>
      </c>
      <c r="AO21" t="s">
        <v>609</v>
      </c>
      <c r="AP21" t="s">
        <v>74</v>
      </c>
      <c r="AQ21" t="s">
        <v>74</v>
      </c>
      <c r="AR21" t="s">
        <v>74</v>
      </c>
      <c r="AS21" t="s">
        <v>74</v>
      </c>
      <c r="AT21" t="s">
        <v>610</v>
      </c>
      <c r="AU21">
        <v>2015</v>
      </c>
      <c r="AV21">
        <v>112</v>
      </c>
      <c r="AW21">
        <v>12</v>
      </c>
      <c r="AX21" t="s">
        <v>74</v>
      </c>
      <c r="AY21" t="s">
        <v>74</v>
      </c>
      <c r="AZ21" t="s">
        <v>74</v>
      </c>
      <c r="BA21" t="s">
        <v>74</v>
      </c>
      <c r="BB21" t="s">
        <v>611</v>
      </c>
      <c r="BC21" t="s">
        <v>612</v>
      </c>
      <c r="BD21" t="s">
        <v>74</v>
      </c>
      <c r="BE21" t="s">
        <v>613</v>
      </c>
      <c r="BF21" t="str">
        <f>HYPERLINK("http://dx.doi.org/10.1073/pnas.1418401112","http://dx.doi.org/10.1073/pnas.1418401112")</f>
        <v>http://dx.doi.org/10.1073/pnas.1418401112</v>
      </c>
      <c r="BG21" t="s">
        <v>74</v>
      </c>
      <c r="BH21" t="s">
        <v>74</v>
      </c>
      <c r="BI21" t="s">
        <v>74</v>
      </c>
      <c r="BJ21" t="s">
        <v>545</v>
      </c>
      <c r="BK21" t="s">
        <v>112</v>
      </c>
      <c r="BL21" t="s">
        <v>546</v>
      </c>
      <c r="BM21" t="s">
        <v>74</v>
      </c>
      <c r="BN21">
        <v>25713383</v>
      </c>
      <c r="BO21" t="s">
        <v>74</v>
      </c>
      <c r="BP21" t="s">
        <v>74</v>
      </c>
      <c r="BQ21" t="s">
        <v>74</v>
      </c>
      <c r="BR21" t="s">
        <v>93</v>
      </c>
      <c r="BS21" t="s">
        <v>614</v>
      </c>
      <c r="BT21" t="str">
        <f>HYPERLINK("https%3A%2F%2Fwww.webofscience.com%2Fwos%2Fwoscc%2Ffull-record%2FWOS:000351477000008","View Full Record in Web of Science")</f>
        <v>View Full Record in Web of Science</v>
      </c>
    </row>
    <row r="22" spans="1:72" x14ac:dyDescent="0.15">
      <c r="A22" t="s">
        <v>72</v>
      </c>
      <c r="B22" t="s">
        <v>1009</v>
      </c>
      <c r="C22" t="s">
        <v>74</v>
      </c>
      <c r="D22" t="s">
        <v>74</v>
      </c>
      <c r="E22" t="s">
        <v>74</v>
      </c>
      <c r="F22" t="s">
        <v>1010</v>
      </c>
      <c r="G22" t="s">
        <v>74</v>
      </c>
      <c r="H22" t="s">
        <v>74</v>
      </c>
      <c r="I22" t="s">
        <v>1011</v>
      </c>
      <c r="J22" t="s">
        <v>568</v>
      </c>
      <c r="K22" t="s">
        <v>74</v>
      </c>
      <c r="L22" t="s">
        <v>74</v>
      </c>
      <c r="M22" t="s">
        <v>74</v>
      </c>
      <c r="N22" t="s">
        <v>78</v>
      </c>
      <c r="O22" t="s">
        <v>74</v>
      </c>
      <c r="P22" t="s">
        <v>74</v>
      </c>
      <c r="Q22" t="s">
        <v>74</v>
      </c>
      <c r="R22" t="s">
        <v>74</v>
      </c>
      <c r="S22" t="s">
        <v>74</v>
      </c>
      <c r="T22" t="s">
        <v>74</v>
      </c>
      <c r="U22" t="s">
        <v>1012</v>
      </c>
      <c r="V22" t="s">
        <v>1013</v>
      </c>
      <c r="W22" t="s">
        <v>1014</v>
      </c>
      <c r="X22" t="s">
        <v>1015</v>
      </c>
      <c r="Y22" t="s">
        <v>1016</v>
      </c>
      <c r="Z22" t="s">
        <v>1017</v>
      </c>
      <c r="AA22" t="s">
        <v>1018</v>
      </c>
      <c r="AB22" t="s">
        <v>1019</v>
      </c>
      <c r="AC22" t="s">
        <v>74</v>
      </c>
      <c r="AD22" t="s">
        <v>74</v>
      </c>
      <c r="AE22" t="s">
        <v>74</v>
      </c>
      <c r="AF22" t="s">
        <v>74</v>
      </c>
      <c r="AG22">
        <v>44</v>
      </c>
      <c r="AH22">
        <v>268</v>
      </c>
      <c r="AI22">
        <v>276</v>
      </c>
      <c r="AJ22">
        <v>3</v>
      </c>
      <c r="AK22">
        <v>54</v>
      </c>
      <c r="AL22" t="s">
        <v>74</v>
      </c>
      <c r="AM22" t="s">
        <v>74</v>
      </c>
      <c r="AN22" t="s">
        <v>74</v>
      </c>
      <c r="AO22" t="s">
        <v>577</v>
      </c>
      <c r="AP22" t="s">
        <v>74</v>
      </c>
      <c r="AQ22" t="s">
        <v>74</v>
      </c>
      <c r="AR22" t="s">
        <v>74</v>
      </c>
      <c r="AS22" t="s">
        <v>74</v>
      </c>
      <c r="AT22" t="s">
        <v>1020</v>
      </c>
      <c r="AU22">
        <v>2012</v>
      </c>
      <c r="AV22">
        <v>7</v>
      </c>
      <c r="AW22">
        <v>4</v>
      </c>
      <c r="AX22" t="s">
        <v>74</v>
      </c>
      <c r="AY22" t="s">
        <v>74</v>
      </c>
      <c r="AZ22" t="s">
        <v>74</v>
      </c>
      <c r="BA22" t="s">
        <v>74</v>
      </c>
      <c r="BB22" t="s">
        <v>74</v>
      </c>
      <c r="BC22" t="s">
        <v>74</v>
      </c>
      <c r="BD22" t="s">
        <v>1021</v>
      </c>
      <c r="BE22" t="s">
        <v>1022</v>
      </c>
      <c r="BF22" t="str">
        <f>HYPERLINK("http://dx.doi.org/10.1371/journal.pone.0034653","http://dx.doi.org/10.1371/journal.pone.0034653")</f>
        <v>http://dx.doi.org/10.1371/journal.pone.0034653</v>
      </c>
      <c r="BG22" t="s">
        <v>74</v>
      </c>
      <c r="BH22" t="s">
        <v>74</v>
      </c>
      <c r="BI22" t="s">
        <v>74</v>
      </c>
      <c r="BJ22" t="s">
        <v>545</v>
      </c>
      <c r="BK22" t="s">
        <v>112</v>
      </c>
      <c r="BL22" t="s">
        <v>546</v>
      </c>
      <c r="BM22" t="s">
        <v>74</v>
      </c>
      <c r="BN22">
        <v>22506041</v>
      </c>
      <c r="BO22" t="s">
        <v>74</v>
      </c>
      <c r="BP22" t="s">
        <v>420</v>
      </c>
      <c r="BQ22" t="s">
        <v>421</v>
      </c>
      <c r="BR22" t="s">
        <v>93</v>
      </c>
      <c r="BS22" t="s">
        <v>1023</v>
      </c>
      <c r="BT22" t="str">
        <f>HYPERLINK("https%3A%2F%2Fwww.webofscience.com%2Fwos%2Fwoscc%2Ffull-record%2FWOS:000305297500049","View Full Record in Web of Science")</f>
        <v>View Full Record in Web of Science</v>
      </c>
    </row>
    <row r="23" spans="1:72" x14ac:dyDescent="0.15">
      <c r="A23" t="s">
        <v>72</v>
      </c>
      <c r="B23" t="s">
        <v>4767</v>
      </c>
      <c r="C23" t="s">
        <v>74</v>
      </c>
      <c r="D23" t="s">
        <v>74</v>
      </c>
      <c r="E23" t="s">
        <v>74</v>
      </c>
      <c r="F23" t="s">
        <v>4768</v>
      </c>
      <c r="G23" t="s">
        <v>74</v>
      </c>
      <c r="H23" t="s">
        <v>74</v>
      </c>
      <c r="I23" t="s">
        <v>4769</v>
      </c>
      <c r="J23" t="s">
        <v>406</v>
      </c>
      <c r="K23" t="s">
        <v>74</v>
      </c>
      <c r="L23" t="s">
        <v>74</v>
      </c>
      <c r="M23" t="s">
        <v>74</v>
      </c>
      <c r="N23" t="s">
        <v>78</v>
      </c>
      <c r="O23" t="s">
        <v>74</v>
      </c>
      <c r="P23" t="s">
        <v>74</v>
      </c>
      <c r="Q23" t="s">
        <v>74</v>
      </c>
      <c r="R23" t="s">
        <v>74</v>
      </c>
      <c r="S23" t="s">
        <v>74</v>
      </c>
      <c r="T23" t="s">
        <v>4770</v>
      </c>
      <c r="U23" t="s">
        <v>4771</v>
      </c>
      <c r="V23" t="s">
        <v>4772</v>
      </c>
      <c r="W23" t="s">
        <v>4773</v>
      </c>
      <c r="X23" t="s">
        <v>1418</v>
      </c>
      <c r="Y23" t="s">
        <v>4774</v>
      </c>
      <c r="Z23" t="s">
        <v>4775</v>
      </c>
      <c r="AA23" t="s">
        <v>74</v>
      </c>
      <c r="AB23" t="s">
        <v>4776</v>
      </c>
      <c r="AC23" t="s">
        <v>74</v>
      </c>
      <c r="AD23" t="s">
        <v>74</v>
      </c>
      <c r="AE23" t="s">
        <v>74</v>
      </c>
      <c r="AF23" t="s">
        <v>74</v>
      </c>
      <c r="AG23">
        <v>24</v>
      </c>
      <c r="AH23">
        <v>264</v>
      </c>
      <c r="AI23">
        <v>268</v>
      </c>
      <c r="AJ23">
        <v>5</v>
      </c>
      <c r="AK23">
        <v>34</v>
      </c>
      <c r="AL23" t="s">
        <v>74</v>
      </c>
      <c r="AM23" t="s">
        <v>74</v>
      </c>
      <c r="AN23" t="s">
        <v>74</v>
      </c>
      <c r="AO23" t="s">
        <v>74</v>
      </c>
      <c r="AP23" t="s">
        <v>416</v>
      </c>
      <c r="AQ23" t="s">
        <v>74</v>
      </c>
      <c r="AR23" t="s">
        <v>74</v>
      </c>
      <c r="AS23" t="s">
        <v>74</v>
      </c>
      <c r="AT23" t="s">
        <v>74</v>
      </c>
      <c r="AU23">
        <v>2015</v>
      </c>
      <c r="AV23">
        <v>4</v>
      </c>
      <c r="AW23" t="s">
        <v>74</v>
      </c>
      <c r="AX23" t="s">
        <v>74</v>
      </c>
      <c r="AY23" t="s">
        <v>74</v>
      </c>
      <c r="AZ23" t="s">
        <v>74</v>
      </c>
      <c r="BA23" t="s">
        <v>74</v>
      </c>
      <c r="BB23" t="s">
        <v>74</v>
      </c>
      <c r="BC23" t="s">
        <v>74</v>
      </c>
      <c r="BD23">
        <v>26238</v>
      </c>
      <c r="BE23" t="s">
        <v>4777</v>
      </c>
      <c r="BF23" t="str">
        <f>HYPERLINK("http://dx.doi.org/10.3402/jev.v4.26238","http://dx.doi.org/10.3402/jev.v4.26238")</f>
        <v>http://dx.doi.org/10.3402/jev.v4.26238</v>
      </c>
      <c r="BG23" t="s">
        <v>74</v>
      </c>
      <c r="BH23" t="s">
        <v>74</v>
      </c>
      <c r="BI23" t="s">
        <v>74</v>
      </c>
      <c r="BJ23" t="s">
        <v>419</v>
      </c>
      <c r="BK23" t="s">
        <v>91</v>
      </c>
      <c r="BL23" t="s">
        <v>419</v>
      </c>
      <c r="BM23" t="s">
        <v>74</v>
      </c>
      <c r="BN23">
        <v>25669322</v>
      </c>
      <c r="BO23" t="s">
        <v>74</v>
      </c>
      <c r="BP23" t="s">
        <v>74</v>
      </c>
      <c r="BQ23" t="s">
        <v>74</v>
      </c>
      <c r="BR23" t="s">
        <v>93</v>
      </c>
      <c r="BS23" t="s">
        <v>4778</v>
      </c>
      <c r="BT23" t="str">
        <f>HYPERLINK("https%3A%2F%2Fwww.webofscience.com%2Fwos%2Fwoscc%2Ffull-record%2FWOS:000365073700001","View Full Record in Web of Science")</f>
        <v>View Full Record in Web of Science</v>
      </c>
    </row>
    <row r="24" spans="1:72" x14ac:dyDescent="0.15">
      <c r="A24" t="s">
        <v>72</v>
      </c>
      <c r="B24" t="s">
        <v>10090</v>
      </c>
      <c r="C24" t="s">
        <v>74</v>
      </c>
      <c r="D24" t="s">
        <v>74</v>
      </c>
      <c r="E24" t="s">
        <v>74</v>
      </c>
      <c r="F24" t="s">
        <v>10090</v>
      </c>
      <c r="G24" t="s">
        <v>74</v>
      </c>
      <c r="H24" t="s">
        <v>74</v>
      </c>
      <c r="I24" t="s">
        <v>10091</v>
      </c>
      <c r="J24" t="s">
        <v>10092</v>
      </c>
      <c r="K24" t="s">
        <v>74</v>
      </c>
      <c r="L24" t="s">
        <v>74</v>
      </c>
      <c r="M24" t="s">
        <v>74</v>
      </c>
      <c r="N24" t="s">
        <v>78</v>
      </c>
      <c r="O24" t="s">
        <v>74</v>
      </c>
      <c r="P24" t="s">
        <v>74</v>
      </c>
      <c r="Q24" t="s">
        <v>74</v>
      </c>
      <c r="R24" t="s">
        <v>74</v>
      </c>
      <c r="S24" t="s">
        <v>74</v>
      </c>
      <c r="T24" t="s">
        <v>10093</v>
      </c>
      <c r="U24" t="s">
        <v>10094</v>
      </c>
      <c r="V24" t="s">
        <v>10095</v>
      </c>
      <c r="W24" t="s">
        <v>74</v>
      </c>
      <c r="X24" t="s">
        <v>74</v>
      </c>
      <c r="Y24" t="s">
        <v>10096</v>
      </c>
      <c r="Z24" t="s">
        <v>74</v>
      </c>
      <c r="AA24" t="s">
        <v>74</v>
      </c>
      <c r="AB24" t="s">
        <v>10097</v>
      </c>
      <c r="AC24" t="s">
        <v>74</v>
      </c>
      <c r="AD24" t="s">
        <v>74</v>
      </c>
      <c r="AE24" t="s">
        <v>74</v>
      </c>
      <c r="AF24" t="s">
        <v>74</v>
      </c>
      <c r="AG24">
        <v>213</v>
      </c>
      <c r="AH24">
        <v>245</v>
      </c>
      <c r="AI24">
        <v>251</v>
      </c>
      <c r="AJ24">
        <v>0</v>
      </c>
      <c r="AK24">
        <v>11</v>
      </c>
      <c r="AL24" t="s">
        <v>74</v>
      </c>
      <c r="AM24" t="s">
        <v>74</v>
      </c>
      <c r="AN24" t="s">
        <v>74</v>
      </c>
      <c r="AO24" t="s">
        <v>10098</v>
      </c>
      <c r="AP24" t="s">
        <v>10099</v>
      </c>
      <c r="AQ24" t="s">
        <v>74</v>
      </c>
      <c r="AR24" t="s">
        <v>74</v>
      </c>
      <c r="AS24" t="s">
        <v>74</v>
      </c>
      <c r="AT24" t="s">
        <v>10100</v>
      </c>
      <c r="AU24">
        <v>1995</v>
      </c>
      <c r="AV24">
        <v>149</v>
      </c>
      <c r="AW24" t="s">
        <v>74</v>
      </c>
      <c r="AX24" t="s">
        <v>74</v>
      </c>
      <c r="AY24" t="s">
        <v>74</v>
      </c>
      <c r="AZ24" t="s">
        <v>74</v>
      </c>
      <c r="BA24" t="s">
        <v>74</v>
      </c>
      <c r="BB24">
        <v>301</v>
      </c>
      <c r="BC24">
        <v>322</v>
      </c>
      <c r="BD24" t="s">
        <v>74</v>
      </c>
      <c r="BE24" t="s">
        <v>10101</v>
      </c>
      <c r="BF24" t="str">
        <f>HYPERLINK("http://dx.doi.org/10.1007/BF01076592","http://dx.doi.org/10.1007/BF01076592")</f>
        <v>http://dx.doi.org/10.1007/BF01076592</v>
      </c>
      <c r="BG24" t="s">
        <v>74</v>
      </c>
      <c r="BH24" t="s">
        <v>74</v>
      </c>
      <c r="BI24" t="s">
        <v>74</v>
      </c>
      <c r="BJ24" t="s">
        <v>419</v>
      </c>
      <c r="BK24" t="s">
        <v>112</v>
      </c>
      <c r="BL24" t="s">
        <v>419</v>
      </c>
      <c r="BM24" t="s">
        <v>74</v>
      </c>
      <c r="BN24">
        <v>8569746</v>
      </c>
      <c r="BO24" t="s">
        <v>74</v>
      </c>
      <c r="BP24" t="s">
        <v>74</v>
      </c>
      <c r="BQ24" t="s">
        <v>74</v>
      </c>
      <c r="BR24" t="s">
        <v>93</v>
      </c>
      <c r="BS24" t="s">
        <v>10102</v>
      </c>
      <c r="BT24" t="str">
        <f>HYPERLINK("https%3A%2F%2Fwww.webofscience.com%2Fwos%2Fwoscc%2Ffull-record%2FWOS:A1995TD09000036","View Full Record in Web of Science")</f>
        <v>View Full Record in Web of Science</v>
      </c>
    </row>
    <row r="25" spans="1:72" x14ac:dyDescent="0.15">
      <c r="A25" t="s">
        <v>72</v>
      </c>
      <c r="B25" t="s">
        <v>7298</v>
      </c>
      <c r="C25" t="s">
        <v>74</v>
      </c>
      <c r="D25" t="s">
        <v>74</v>
      </c>
      <c r="E25" t="s">
        <v>74</v>
      </c>
      <c r="F25" t="s">
        <v>7299</v>
      </c>
      <c r="G25" t="s">
        <v>74</v>
      </c>
      <c r="H25" t="s">
        <v>74</v>
      </c>
      <c r="I25" t="s">
        <v>7300</v>
      </c>
      <c r="J25" t="s">
        <v>1783</v>
      </c>
      <c r="K25" t="s">
        <v>74</v>
      </c>
      <c r="L25" t="s">
        <v>74</v>
      </c>
      <c r="M25" t="s">
        <v>74</v>
      </c>
      <c r="N25" t="s">
        <v>78</v>
      </c>
      <c r="O25" t="s">
        <v>74</v>
      </c>
      <c r="P25" t="s">
        <v>74</v>
      </c>
      <c r="Q25" t="s">
        <v>74</v>
      </c>
      <c r="R25" t="s">
        <v>74</v>
      </c>
      <c r="S25" t="s">
        <v>74</v>
      </c>
      <c r="T25" t="s">
        <v>7301</v>
      </c>
      <c r="U25" t="s">
        <v>7302</v>
      </c>
      <c r="V25" t="s">
        <v>7303</v>
      </c>
      <c r="W25" t="s">
        <v>7304</v>
      </c>
      <c r="X25" t="s">
        <v>7305</v>
      </c>
      <c r="Y25" t="s">
        <v>7306</v>
      </c>
      <c r="Z25" t="s">
        <v>5439</v>
      </c>
      <c r="AA25" t="s">
        <v>7307</v>
      </c>
      <c r="AB25" t="s">
        <v>7308</v>
      </c>
      <c r="AC25" t="s">
        <v>74</v>
      </c>
      <c r="AD25" t="s">
        <v>74</v>
      </c>
      <c r="AE25" t="s">
        <v>74</v>
      </c>
      <c r="AF25" t="s">
        <v>74</v>
      </c>
      <c r="AG25">
        <v>35</v>
      </c>
      <c r="AH25">
        <v>244</v>
      </c>
      <c r="AI25">
        <v>252</v>
      </c>
      <c r="AJ25">
        <v>8</v>
      </c>
      <c r="AK25">
        <v>88</v>
      </c>
      <c r="AL25" t="s">
        <v>74</v>
      </c>
      <c r="AM25" t="s">
        <v>74</v>
      </c>
      <c r="AN25" t="s">
        <v>74</v>
      </c>
      <c r="AO25" t="s">
        <v>1792</v>
      </c>
      <c r="AP25" t="s">
        <v>1793</v>
      </c>
      <c r="AQ25" t="s">
        <v>74</v>
      </c>
      <c r="AR25" t="s">
        <v>74</v>
      </c>
      <c r="AS25" t="s">
        <v>74</v>
      </c>
      <c r="AT25" t="s">
        <v>129</v>
      </c>
      <c r="AU25">
        <v>2017</v>
      </c>
      <c r="AV25">
        <v>28</v>
      </c>
      <c r="AW25">
        <v>4</v>
      </c>
      <c r="AX25" t="s">
        <v>74</v>
      </c>
      <c r="AY25" t="s">
        <v>74</v>
      </c>
      <c r="AZ25" t="s">
        <v>74</v>
      </c>
      <c r="BA25" t="s">
        <v>74</v>
      </c>
      <c r="BB25">
        <v>741</v>
      </c>
      <c r="BC25">
        <v>747</v>
      </c>
      <c r="BD25" t="s">
        <v>74</v>
      </c>
      <c r="BE25" t="s">
        <v>7309</v>
      </c>
      <c r="BF25" t="str">
        <f>HYPERLINK("http://dx.doi.org/10.1093/annonc/mdx004","http://dx.doi.org/10.1093/annonc/mdx004")</f>
        <v>http://dx.doi.org/10.1093/annonc/mdx004</v>
      </c>
      <c r="BG25" t="s">
        <v>74</v>
      </c>
      <c r="BH25" t="s">
        <v>74</v>
      </c>
      <c r="BI25" t="s">
        <v>74</v>
      </c>
      <c r="BJ25" t="s">
        <v>146</v>
      </c>
      <c r="BK25" t="s">
        <v>112</v>
      </c>
      <c r="BL25" t="s">
        <v>146</v>
      </c>
      <c r="BM25" t="s">
        <v>74</v>
      </c>
      <c r="BN25">
        <v>28104621</v>
      </c>
      <c r="BO25" t="s">
        <v>74</v>
      </c>
      <c r="BP25" t="s">
        <v>420</v>
      </c>
      <c r="BQ25" t="s">
        <v>421</v>
      </c>
      <c r="BR25" t="s">
        <v>93</v>
      </c>
      <c r="BS25" t="s">
        <v>7310</v>
      </c>
      <c r="BT25" t="str">
        <f>HYPERLINK("https%3A%2F%2Fwww.webofscience.com%2Fwos%2Fwoscc%2Ffull-record%2FWOS:000397622100014","View Full Record in Web of Science")</f>
        <v>View Full Record in Web of Science</v>
      </c>
    </row>
    <row r="26" spans="1:72" x14ac:dyDescent="0.15">
      <c r="A26" t="s">
        <v>72</v>
      </c>
      <c r="B26" t="s">
        <v>489</v>
      </c>
      <c r="C26" t="s">
        <v>74</v>
      </c>
      <c r="D26" t="s">
        <v>74</v>
      </c>
      <c r="E26" t="s">
        <v>74</v>
      </c>
      <c r="F26" t="s">
        <v>490</v>
      </c>
      <c r="G26" t="s">
        <v>74</v>
      </c>
      <c r="H26" t="s">
        <v>74</v>
      </c>
      <c r="I26" t="s">
        <v>491</v>
      </c>
      <c r="J26" t="s">
        <v>492</v>
      </c>
      <c r="K26" t="s">
        <v>74</v>
      </c>
      <c r="L26" t="s">
        <v>74</v>
      </c>
      <c r="M26" t="s">
        <v>74</v>
      </c>
      <c r="N26" t="s">
        <v>78</v>
      </c>
      <c r="O26" t="s">
        <v>74</v>
      </c>
      <c r="P26" t="s">
        <v>74</v>
      </c>
      <c r="Q26" t="s">
        <v>74</v>
      </c>
      <c r="R26" t="s">
        <v>74</v>
      </c>
      <c r="S26" t="s">
        <v>74</v>
      </c>
      <c r="T26" t="s">
        <v>493</v>
      </c>
      <c r="U26" t="s">
        <v>494</v>
      </c>
      <c r="V26" t="s">
        <v>495</v>
      </c>
      <c r="W26" t="s">
        <v>496</v>
      </c>
      <c r="X26" t="s">
        <v>497</v>
      </c>
      <c r="Y26" t="s">
        <v>498</v>
      </c>
      <c r="Z26" t="s">
        <v>499</v>
      </c>
      <c r="AA26" t="s">
        <v>500</v>
      </c>
      <c r="AB26" t="s">
        <v>501</v>
      </c>
      <c r="AC26" t="s">
        <v>74</v>
      </c>
      <c r="AD26" t="s">
        <v>74</v>
      </c>
      <c r="AE26" t="s">
        <v>74</v>
      </c>
      <c r="AF26" t="s">
        <v>74</v>
      </c>
      <c r="AG26">
        <v>34</v>
      </c>
      <c r="AH26">
        <v>222</v>
      </c>
      <c r="AI26">
        <v>232</v>
      </c>
      <c r="AJ26">
        <v>14</v>
      </c>
      <c r="AK26">
        <v>61</v>
      </c>
      <c r="AL26" t="s">
        <v>74</v>
      </c>
      <c r="AM26" t="s">
        <v>74</v>
      </c>
      <c r="AN26" t="s">
        <v>74</v>
      </c>
      <c r="AO26" t="s">
        <v>502</v>
      </c>
      <c r="AP26" t="s">
        <v>74</v>
      </c>
      <c r="AQ26" t="s">
        <v>74</v>
      </c>
      <c r="AR26" t="s">
        <v>74</v>
      </c>
      <c r="AS26" t="s">
        <v>74</v>
      </c>
      <c r="AT26" t="s">
        <v>503</v>
      </c>
      <c r="AU26">
        <v>2013</v>
      </c>
      <c r="AV26">
        <v>2</v>
      </c>
      <c r="AW26" t="s">
        <v>74</v>
      </c>
      <c r="AX26" t="s">
        <v>74</v>
      </c>
      <c r="AY26" t="s">
        <v>74</v>
      </c>
      <c r="AZ26" t="s">
        <v>74</v>
      </c>
      <c r="BA26" t="s">
        <v>74</v>
      </c>
      <c r="BB26" t="s">
        <v>74</v>
      </c>
      <c r="BC26" t="s">
        <v>74</v>
      </c>
      <c r="BD26" t="s">
        <v>504</v>
      </c>
      <c r="BE26" t="s">
        <v>505</v>
      </c>
      <c r="BF26" t="str">
        <f>HYPERLINK("http://dx.doi.org/10.1038/mtna.2013.28","http://dx.doi.org/10.1038/mtna.2013.28")</f>
        <v>http://dx.doi.org/10.1038/mtna.2013.28</v>
      </c>
      <c r="BG26" t="s">
        <v>74</v>
      </c>
      <c r="BH26" t="s">
        <v>74</v>
      </c>
      <c r="BI26" t="s">
        <v>74</v>
      </c>
      <c r="BJ26" t="s">
        <v>506</v>
      </c>
      <c r="BK26" t="s">
        <v>112</v>
      </c>
      <c r="BL26" t="s">
        <v>507</v>
      </c>
      <c r="BM26" t="s">
        <v>74</v>
      </c>
      <c r="BN26">
        <v>23881452</v>
      </c>
      <c r="BO26" t="s">
        <v>74</v>
      </c>
      <c r="BP26" t="s">
        <v>74</v>
      </c>
      <c r="BQ26" t="s">
        <v>74</v>
      </c>
      <c r="BR26" t="s">
        <v>93</v>
      </c>
      <c r="BS26" t="s">
        <v>508</v>
      </c>
      <c r="BT26" t="str">
        <f>HYPERLINK("https%3A%2F%2Fwww.webofscience.com%2Fwos%2Fwoscc%2Ffull-record%2FWOS:000332467000008","View Full Record in Web of Science")</f>
        <v>View Full Record in Web of Science</v>
      </c>
    </row>
    <row r="27" spans="1:72" x14ac:dyDescent="0.15">
      <c r="A27" t="s">
        <v>72</v>
      </c>
      <c r="B27" t="s">
        <v>5968</v>
      </c>
      <c r="C27" t="s">
        <v>74</v>
      </c>
      <c r="D27" t="s">
        <v>74</v>
      </c>
      <c r="E27" t="s">
        <v>74</v>
      </c>
      <c r="F27" t="s">
        <v>5968</v>
      </c>
      <c r="G27" t="s">
        <v>74</v>
      </c>
      <c r="H27" t="s">
        <v>74</v>
      </c>
      <c r="I27" t="s">
        <v>5969</v>
      </c>
      <c r="J27" t="s">
        <v>5970</v>
      </c>
      <c r="K27" t="s">
        <v>74</v>
      </c>
      <c r="L27" t="s">
        <v>74</v>
      </c>
      <c r="M27" t="s">
        <v>74</v>
      </c>
      <c r="N27" t="s">
        <v>78</v>
      </c>
      <c r="O27" t="s">
        <v>74</v>
      </c>
      <c r="P27" t="s">
        <v>74</v>
      </c>
      <c r="Q27" t="s">
        <v>74</v>
      </c>
      <c r="R27" t="s">
        <v>74</v>
      </c>
      <c r="S27" t="s">
        <v>74</v>
      </c>
      <c r="T27" t="s">
        <v>74</v>
      </c>
      <c r="U27" t="s">
        <v>5971</v>
      </c>
      <c r="V27" t="s">
        <v>5972</v>
      </c>
      <c r="W27" t="s">
        <v>5973</v>
      </c>
      <c r="X27" t="s">
        <v>5974</v>
      </c>
      <c r="Y27" t="s">
        <v>5975</v>
      </c>
      <c r="Z27" t="s">
        <v>5976</v>
      </c>
      <c r="AA27" t="s">
        <v>74</v>
      </c>
      <c r="AB27" t="s">
        <v>74</v>
      </c>
      <c r="AC27" t="s">
        <v>74</v>
      </c>
      <c r="AD27" t="s">
        <v>74</v>
      </c>
      <c r="AE27" t="s">
        <v>74</v>
      </c>
      <c r="AF27" t="s">
        <v>74</v>
      </c>
      <c r="AG27">
        <v>33</v>
      </c>
      <c r="AH27">
        <v>222</v>
      </c>
      <c r="AI27">
        <v>230</v>
      </c>
      <c r="AJ27">
        <v>5</v>
      </c>
      <c r="AK27">
        <v>29</v>
      </c>
      <c r="AL27" t="s">
        <v>74</v>
      </c>
      <c r="AM27" t="s">
        <v>74</v>
      </c>
      <c r="AN27" t="s">
        <v>74</v>
      </c>
      <c r="AO27" t="s">
        <v>5977</v>
      </c>
      <c r="AP27" t="s">
        <v>5978</v>
      </c>
      <c r="AQ27" t="s">
        <v>74</v>
      </c>
      <c r="AR27" t="s">
        <v>74</v>
      </c>
      <c r="AS27" t="s">
        <v>74</v>
      </c>
      <c r="AT27" t="s">
        <v>503</v>
      </c>
      <c r="AU27">
        <v>2004</v>
      </c>
      <c r="AV27">
        <v>150</v>
      </c>
      <c r="AW27" t="s">
        <v>74</v>
      </c>
      <c r="AX27">
        <v>7</v>
      </c>
      <c r="AY27" t="s">
        <v>74</v>
      </c>
      <c r="AZ27" t="s">
        <v>74</v>
      </c>
      <c r="BA27" t="s">
        <v>74</v>
      </c>
      <c r="BB27">
        <v>2161</v>
      </c>
      <c r="BC27">
        <v>2169</v>
      </c>
      <c r="BD27" t="s">
        <v>74</v>
      </c>
      <c r="BE27" t="s">
        <v>5979</v>
      </c>
      <c r="BF27" t="str">
        <f>HYPERLINK("http://dx.doi.org/10.1099/mic.0.26841-0","http://dx.doi.org/10.1099/mic.0.26841-0")</f>
        <v>http://dx.doi.org/10.1099/mic.0.26841-0</v>
      </c>
      <c r="BG27" t="s">
        <v>74</v>
      </c>
      <c r="BH27" t="s">
        <v>74</v>
      </c>
      <c r="BI27" t="s">
        <v>74</v>
      </c>
      <c r="BJ27" t="s">
        <v>1699</v>
      </c>
      <c r="BK27" t="s">
        <v>112</v>
      </c>
      <c r="BL27" t="s">
        <v>1699</v>
      </c>
      <c r="BM27" t="s">
        <v>74</v>
      </c>
      <c r="BN27">
        <v>15256559</v>
      </c>
      <c r="BO27" t="s">
        <v>74</v>
      </c>
      <c r="BP27" t="s">
        <v>74</v>
      </c>
      <c r="BQ27" t="s">
        <v>74</v>
      </c>
      <c r="BR27" t="s">
        <v>93</v>
      </c>
      <c r="BS27" t="s">
        <v>5980</v>
      </c>
      <c r="BT27" t="str">
        <f>HYPERLINK("https%3A%2F%2Fwww.webofscience.com%2Fwos%2Fwoscc%2Ffull-record%2FWOS:000222857900017","View Full Record in Web of Science")</f>
        <v>View Full Record in Web of Science</v>
      </c>
    </row>
    <row r="28" spans="1:72" x14ac:dyDescent="0.15">
      <c r="A28" t="s">
        <v>72</v>
      </c>
      <c r="B28" t="s">
        <v>5122</v>
      </c>
      <c r="C28" t="s">
        <v>74</v>
      </c>
      <c r="D28" t="s">
        <v>74</v>
      </c>
      <c r="E28" t="s">
        <v>74</v>
      </c>
      <c r="F28" t="s">
        <v>5123</v>
      </c>
      <c r="G28" t="s">
        <v>74</v>
      </c>
      <c r="H28" t="s">
        <v>74</v>
      </c>
      <c r="I28" t="s">
        <v>5124</v>
      </c>
      <c r="J28" t="s">
        <v>5125</v>
      </c>
      <c r="K28" t="s">
        <v>74</v>
      </c>
      <c r="L28" t="s">
        <v>74</v>
      </c>
      <c r="M28" t="s">
        <v>74</v>
      </c>
      <c r="N28" t="s">
        <v>78</v>
      </c>
      <c r="O28" t="s">
        <v>74</v>
      </c>
      <c r="P28" t="s">
        <v>74</v>
      </c>
      <c r="Q28" t="s">
        <v>74</v>
      </c>
      <c r="R28" t="s">
        <v>74</v>
      </c>
      <c r="S28" t="s">
        <v>74</v>
      </c>
      <c r="T28" t="s">
        <v>5126</v>
      </c>
      <c r="U28" t="s">
        <v>5127</v>
      </c>
      <c r="V28" t="s">
        <v>5128</v>
      </c>
      <c r="W28" t="s">
        <v>5129</v>
      </c>
      <c r="X28" t="s">
        <v>5130</v>
      </c>
      <c r="Y28" t="s">
        <v>5131</v>
      </c>
      <c r="Z28" t="s">
        <v>1631</v>
      </c>
      <c r="AA28" t="s">
        <v>74</v>
      </c>
      <c r="AB28" t="s">
        <v>74</v>
      </c>
      <c r="AC28" t="s">
        <v>74</v>
      </c>
      <c r="AD28" t="s">
        <v>74</v>
      </c>
      <c r="AE28" t="s">
        <v>74</v>
      </c>
      <c r="AF28" t="s">
        <v>74</v>
      </c>
      <c r="AG28">
        <v>212</v>
      </c>
      <c r="AH28">
        <v>204</v>
      </c>
      <c r="AI28">
        <v>208</v>
      </c>
      <c r="AJ28">
        <v>2</v>
      </c>
      <c r="AK28">
        <v>30</v>
      </c>
      <c r="AL28" t="s">
        <v>74</v>
      </c>
      <c r="AM28" t="s">
        <v>74</v>
      </c>
      <c r="AN28" t="s">
        <v>74</v>
      </c>
      <c r="AO28" t="s">
        <v>5132</v>
      </c>
      <c r="AP28" t="s">
        <v>5133</v>
      </c>
      <c r="AQ28" t="s">
        <v>74</v>
      </c>
      <c r="AR28" t="s">
        <v>74</v>
      </c>
      <c r="AS28" t="s">
        <v>74</v>
      </c>
      <c r="AT28" t="s">
        <v>236</v>
      </c>
      <c r="AU28">
        <v>2010</v>
      </c>
      <c r="AV28">
        <v>36</v>
      </c>
      <c r="AW28">
        <v>8</v>
      </c>
      <c r="AX28" t="s">
        <v>74</v>
      </c>
      <c r="AY28" t="s">
        <v>74</v>
      </c>
      <c r="AZ28" t="s">
        <v>74</v>
      </c>
      <c r="BA28" t="s">
        <v>74</v>
      </c>
      <c r="BB28">
        <v>888</v>
      </c>
      <c r="BC28">
        <v>906</v>
      </c>
      <c r="BD28" t="s">
        <v>74</v>
      </c>
      <c r="BE28" t="s">
        <v>5134</v>
      </c>
      <c r="BF28" t="str">
        <f>HYPERLINK("http://dx.doi.org/10.1055/s-0030-1267043","http://dx.doi.org/10.1055/s-0030-1267043")</f>
        <v>http://dx.doi.org/10.1055/s-0030-1267043</v>
      </c>
      <c r="BG28" t="s">
        <v>74</v>
      </c>
      <c r="BH28" t="s">
        <v>74</v>
      </c>
      <c r="BI28" t="s">
        <v>74</v>
      </c>
      <c r="BJ28" t="s">
        <v>1635</v>
      </c>
      <c r="BK28" t="s">
        <v>112</v>
      </c>
      <c r="BL28" t="s">
        <v>1636</v>
      </c>
      <c r="BM28" t="s">
        <v>74</v>
      </c>
      <c r="BN28">
        <v>21049390</v>
      </c>
      <c r="BO28" t="s">
        <v>74</v>
      </c>
      <c r="BP28" t="s">
        <v>74</v>
      </c>
      <c r="BQ28" t="s">
        <v>74</v>
      </c>
      <c r="BR28" t="s">
        <v>93</v>
      </c>
      <c r="BS28" t="s">
        <v>5135</v>
      </c>
      <c r="BT28" t="str">
        <f>HYPERLINK("https%3A%2F%2Fwww.webofscience.com%2Fwos%2Fwoscc%2Ffull-record%2FWOS:000283532800013","View Full Record in Web of Science")</f>
        <v>View Full Record in Web of Science</v>
      </c>
    </row>
    <row r="29" spans="1:72" x14ac:dyDescent="0.15">
      <c r="A29" t="s">
        <v>72</v>
      </c>
      <c r="B29" t="s">
        <v>1277</v>
      </c>
      <c r="C29" t="s">
        <v>74</v>
      </c>
      <c r="D29" t="s">
        <v>74</v>
      </c>
      <c r="E29" t="s">
        <v>74</v>
      </c>
      <c r="F29" t="s">
        <v>1278</v>
      </c>
      <c r="G29" t="s">
        <v>74</v>
      </c>
      <c r="H29" t="s">
        <v>74</v>
      </c>
      <c r="I29" t="s">
        <v>1279</v>
      </c>
      <c r="J29" t="s">
        <v>1280</v>
      </c>
      <c r="K29" t="s">
        <v>74</v>
      </c>
      <c r="L29" t="s">
        <v>74</v>
      </c>
      <c r="M29" t="s">
        <v>74</v>
      </c>
      <c r="N29" t="s">
        <v>78</v>
      </c>
      <c r="O29" t="s">
        <v>74</v>
      </c>
      <c r="P29" t="s">
        <v>74</v>
      </c>
      <c r="Q29" t="s">
        <v>74</v>
      </c>
      <c r="R29" t="s">
        <v>74</v>
      </c>
      <c r="S29" t="s">
        <v>74</v>
      </c>
      <c r="T29" t="s">
        <v>1281</v>
      </c>
      <c r="U29" t="s">
        <v>1282</v>
      </c>
      <c r="V29" t="s">
        <v>1283</v>
      </c>
      <c r="W29" t="s">
        <v>1284</v>
      </c>
      <c r="X29" t="s">
        <v>1285</v>
      </c>
      <c r="Y29" t="s">
        <v>1286</v>
      </c>
      <c r="Z29" t="s">
        <v>1287</v>
      </c>
      <c r="AA29" t="s">
        <v>1288</v>
      </c>
      <c r="AB29" t="s">
        <v>1289</v>
      </c>
      <c r="AC29" t="s">
        <v>74</v>
      </c>
      <c r="AD29" t="s">
        <v>74</v>
      </c>
      <c r="AE29" t="s">
        <v>74</v>
      </c>
      <c r="AF29" t="s">
        <v>74</v>
      </c>
      <c r="AG29">
        <v>71</v>
      </c>
      <c r="AH29">
        <v>203</v>
      </c>
      <c r="AI29">
        <v>209</v>
      </c>
      <c r="AJ29">
        <v>1</v>
      </c>
      <c r="AK29">
        <v>92</v>
      </c>
      <c r="AL29" t="s">
        <v>74</v>
      </c>
      <c r="AM29" t="s">
        <v>74</v>
      </c>
      <c r="AN29" t="s">
        <v>74</v>
      </c>
      <c r="AO29" t="s">
        <v>1290</v>
      </c>
      <c r="AP29" t="s">
        <v>1291</v>
      </c>
      <c r="AQ29" t="s">
        <v>74</v>
      </c>
      <c r="AR29" t="s">
        <v>74</v>
      </c>
      <c r="AS29" t="s">
        <v>74</v>
      </c>
      <c r="AT29" t="s">
        <v>1111</v>
      </c>
      <c r="AU29">
        <v>2011</v>
      </c>
      <c r="AV29">
        <v>59</v>
      </c>
      <c r="AW29">
        <v>5</v>
      </c>
      <c r="AX29" t="s">
        <v>74</v>
      </c>
      <c r="AY29" t="s">
        <v>74</v>
      </c>
      <c r="AZ29" t="s">
        <v>74</v>
      </c>
      <c r="BA29" t="s">
        <v>74</v>
      </c>
      <c r="BB29">
        <v>823</v>
      </c>
      <c r="BC29">
        <v>831</v>
      </c>
      <c r="BD29" t="s">
        <v>74</v>
      </c>
      <c r="BE29" t="s">
        <v>1292</v>
      </c>
      <c r="BF29" t="str">
        <f>HYPERLINK("http://dx.doi.org/10.1016/j.eururo.2010.12.031","http://dx.doi.org/10.1016/j.eururo.2010.12.031")</f>
        <v>http://dx.doi.org/10.1016/j.eururo.2010.12.031</v>
      </c>
      <c r="BG29" t="s">
        <v>74</v>
      </c>
      <c r="BH29" t="s">
        <v>74</v>
      </c>
      <c r="BI29" t="s">
        <v>74</v>
      </c>
      <c r="BJ29" t="s">
        <v>1293</v>
      </c>
      <c r="BK29" t="s">
        <v>112</v>
      </c>
      <c r="BL29" t="s">
        <v>1293</v>
      </c>
      <c r="BM29" t="s">
        <v>74</v>
      </c>
      <c r="BN29">
        <v>21196075</v>
      </c>
      <c r="BO29" t="s">
        <v>74</v>
      </c>
      <c r="BP29" t="s">
        <v>74</v>
      </c>
      <c r="BQ29" t="s">
        <v>74</v>
      </c>
      <c r="BR29" t="s">
        <v>93</v>
      </c>
      <c r="BS29" t="s">
        <v>1294</v>
      </c>
      <c r="BT29" t="str">
        <f>HYPERLINK("https%3A%2F%2Fwww.webofscience.com%2Fwos%2Fwoscc%2Ffull-record%2FWOS:000288991500029","View Full Record in Web of Science")</f>
        <v>View Full Record in Web of Science</v>
      </c>
    </row>
    <row r="30" spans="1:72" x14ac:dyDescent="0.15">
      <c r="A30" t="s">
        <v>72</v>
      </c>
      <c r="B30" t="s">
        <v>1463</v>
      </c>
      <c r="C30" t="s">
        <v>74</v>
      </c>
      <c r="D30" t="s">
        <v>74</v>
      </c>
      <c r="E30" t="s">
        <v>74</v>
      </c>
      <c r="F30" t="s">
        <v>1464</v>
      </c>
      <c r="G30" t="s">
        <v>74</v>
      </c>
      <c r="H30" t="s">
        <v>74</v>
      </c>
      <c r="I30" t="s">
        <v>1465</v>
      </c>
      <c r="J30" t="s">
        <v>568</v>
      </c>
      <c r="K30" t="s">
        <v>74</v>
      </c>
      <c r="L30" t="s">
        <v>74</v>
      </c>
      <c r="M30" t="s">
        <v>74</v>
      </c>
      <c r="N30" t="s">
        <v>78</v>
      </c>
      <c r="O30" t="s">
        <v>74</v>
      </c>
      <c r="P30" t="s">
        <v>74</v>
      </c>
      <c r="Q30" t="s">
        <v>74</v>
      </c>
      <c r="R30" t="s">
        <v>74</v>
      </c>
      <c r="S30" t="s">
        <v>74</v>
      </c>
      <c r="T30" t="s">
        <v>74</v>
      </c>
      <c r="U30" t="s">
        <v>1466</v>
      </c>
      <c r="V30" t="s">
        <v>1467</v>
      </c>
      <c r="W30" t="s">
        <v>1468</v>
      </c>
      <c r="X30" t="s">
        <v>1469</v>
      </c>
      <c r="Y30" t="s">
        <v>1470</v>
      </c>
      <c r="Z30" t="s">
        <v>1471</v>
      </c>
      <c r="AA30" t="s">
        <v>74</v>
      </c>
      <c r="AB30" t="s">
        <v>1322</v>
      </c>
      <c r="AC30" t="s">
        <v>74</v>
      </c>
      <c r="AD30" t="s">
        <v>74</v>
      </c>
      <c r="AE30" t="s">
        <v>74</v>
      </c>
      <c r="AF30" t="s">
        <v>74</v>
      </c>
      <c r="AG30">
        <v>48</v>
      </c>
      <c r="AH30">
        <v>198</v>
      </c>
      <c r="AI30">
        <v>205</v>
      </c>
      <c r="AJ30">
        <v>2</v>
      </c>
      <c r="AK30">
        <v>29</v>
      </c>
      <c r="AL30" t="s">
        <v>74</v>
      </c>
      <c r="AM30" t="s">
        <v>74</v>
      </c>
      <c r="AN30" t="s">
        <v>74</v>
      </c>
      <c r="AO30" t="s">
        <v>577</v>
      </c>
      <c r="AP30" t="s">
        <v>74</v>
      </c>
      <c r="AQ30" t="s">
        <v>74</v>
      </c>
      <c r="AR30" t="s">
        <v>74</v>
      </c>
      <c r="AS30" t="s">
        <v>74</v>
      </c>
      <c r="AT30" t="s">
        <v>1472</v>
      </c>
      <c r="AU30">
        <v>2015</v>
      </c>
      <c r="AV30">
        <v>10</v>
      </c>
      <c r="AW30">
        <v>8</v>
      </c>
      <c r="AX30" t="s">
        <v>74</v>
      </c>
      <c r="AY30" t="s">
        <v>74</v>
      </c>
      <c r="AZ30" t="s">
        <v>74</v>
      </c>
      <c r="BA30" t="s">
        <v>74</v>
      </c>
      <c r="BB30" t="s">
        <v>74</v>
      </c>
      <c r="BC30" t="s">
        <v>74</v>
      </c>
      <c r="BD30" t="s">
        <v>1473</v>
      </c>
      <c r="BE30" t="s">
        <v>1474</v>
      </c>
      <c r="BF30" t="str">
        <f>HYPERLINK("http://dx.doi.org/10.1371/journal.pone.0136133","http://dx.doi.org/10.1371/journal.pone.0136133")</f>
        <v>http://dx.doi.org/10.1371/journal.pone.0136133</v>
      </c>
      <c r="BG30" t="s">
        <v>74</v>
      </c>
      <c r="BH30" t="s">
        <v>74</v>
      </c>
      <c r="BI30" t="s">
        <v>74</v>
      </c>
      <c r="BJ30" t="s">
        <v>545</v>
      </c>
      <c r="BK30" t="s">
        <v>112</v>
      </c>
      <c r="BL30" t="s">
        <v>546</v>
      </c>
      <c r="BM30" t="s">
        <v>74</v>
      </c>
      <c r="BN30">
        <v>26317354</v>
      </c>
      <c r="BO30" t="s">
        <v>74</v>
      </c>
      <c r="BP30" t="s">
        <v>420</v>
      </c>
      <c r="BQ30" t="s">
        <v>421</v>
      </c>
      <c r="BR30" t="s">
        <v>93</v>
      </c>
      <c r="BS30" t="s">
        <v>1475</v>
      </c>
      <c r="BT30" t="str">
        <f>HYPERLINK("https%3A%2F%2Fwww.webofscience.com%2Fwos%2Fwoscc%2Ffull-record%2FWOS:000360299100059","View Full Record in Web of Science")</f>
        <v>View Full Record in Web of Science</v>
      </c>
    </row>
    <row r="31" spans="1:72" x14ac:dyDescent="0.15">
      <c r="A31" t="s">
        <v>72</v>
      </c>
      <c r="B31" t="s">
        <v>9314</v>
      </c>
      <c r="C31" t="s">
        <v>74</v>
      </c>
      <c r="D31" t="s">
        <v>74</v>
      </c>
      <c r="E31" t="s">
        <v>74</v>
      </c>
      <c r="F31" t="s">
        <v>9314</v>
      </c>
      <c r="G31" t="s">
        <v>74</v>
      </c>
      <c r="H31" t="s">
        <v>74</v>
      </c>
      <c r="I31" t="s">
        <v>9315</v>
      </c>
      <c r="J31" t="s">
        <v>9316</v>
      </c>
      <c r="K31" t="s">
        <v>74</v>
      </c>
      <c r="L31" t="s">
        <v>74</v>
      </c>
      <c r="M31" t="s">
        <v>74</v>
      </c>
      <c r="N31" t="s">
        <v>78</v>
      </c>
      <c r="O31" t="s">
        <v>74</v>
      </c>
      <c r="P31" t="s">
        <v>74</v>
      </c>
      <c r="Q31" t="s">
        <v>74</v>
      </c>
      <c r="R31" t="s">
        <v>74</v>
      </c>
      <c r="S31" t="s">
        <v>74</v>
      </c>
      <c r="T31" t="s">
        <v>74</v>
      </c>
      <c r="U31" t="s">
        <v>9317</v>
      </c>
      <c r="V31" t="s">
        <v>9318</v>
      </c>
      <c r="W31" t="s">
        <v>9319</v>
      </c>
      <c r="X31" t="s">
        <v>9320</v>
      </c>
      <c r="Y31" t="s">
        <v>9321</v>
      </c>
      <c r="Z31" t="s">
        <v>74</v>
      </c>
      <c r="AA31" t="s">
        <v>9322</v>
      </c>
      <c r="AB31" t="s">
        <v>9323</v>
      </c>
      <c r="AC31" t="s">
        <v>74</v>
      </c>
      <c r="AD31" t="s">
        <v>74</v>
      </c>
      <c r="AE31" t="s">
        <v>74</v>
      </c>
      <c r="AF31" t="s">
        <v>74</v>
      </c>
      <c r="AG31">
        <v>51</v>
      </c>
      <c r="AH31">
        <v>195</v>
      </c>
      <c r="AI31">
        <v>198</v>
      </c>
      <c r="AJ31">
        <v>0</v>
      </c>
      <c r="AK31">
        <v>5</v>
      </c>
      <c r="AL31" t="s">
        <v>74</v>
      </c>
      <c r="AM31" t="s">
        <v>74</v>
      </c>
      <c r="AN31" t="s">
        <v>74</v>
      </c>
      <c r="AO31" t="s">
        <v>9324</v>
      </c>
      <c r="AP31" t="s">
        <v>74</v>
      </c>
      <c r="AQ31" t="s">
        <v>74</v>
      </c>
      <c r="AR31" t="s">
        <v>74</v>
      </c>
      <c r="AS31" t="s">
        <v>74</v>
      </c>
      <c r="AT31" t="s">
        <v>88</v>
      </c>
      <c r="AU31">
        <v>1995</v>
      </c>
      <c r="AV31">
        <v>69</v>
      </c>
      <c r="AW31">
        <v>6</v>
      </c>
      <c r="AX31" t="s">
        <v>74</v>
      </c>
      <c r="AY31" t="s">
        <v>74</v>
      </c>
      <c r="AZ31" t="s">
        <v>74</v>
      </c>
      <c r="BA31" t="s">
        <v>74</v>
      </c>
      <c r="BB31">
        <v>3407</v>
      </c>
      <c r="BC31">
        <v>3419</v>
      </c>
      <c r="BD31" t="s">
        <v>74</v>
      </c>
      <c r="BE31" t="s">
        <v>74</v>
      </c>
      <c r="BF31" t="s">
        <v>74</v>
      </c>
      <c r="BG31" t="s">
        <v>74</v>
      </c>
      <c r="BH31" t="s">
        <v>74</v>
      </c>
      <c r="BI31" t="s">
        <v>74</v>
      </c>
      <c r="BJ31" t="s">
        <v>401</v>
      </c>
      <c r="BK31" t="s">
        <v>112</v>
      </c>
      <c r="BL31" t="s">
        <v>401</v>
      </c>
      <c r="BM31" t="s">
        <v>74</v>
      </c>
      <c r="BN31">
        <v>7745687</v>
      </c>
      <c r="BO31" t="s">
        <v>74</v>
      </c>
      <c r="BP31" t="s">
        <v>74</v>
      </c>
      <c r="BQ31" t="s">
        <v>74</v>
      </c>
      <c r="BR31" t="s">
        <v>93</v>
      </c>
      <c r="BS31" t="s">
        <v>9325</v>
      </c>
      <c r="BT31" t="str">
        <f>HYPERLINK("https%3A%2F%2Fwww.webofscience.com%2Fwos%2Fwoscc%2Ffull-record%2FWOS:A1995QX93100019","View Full Record in Web of Science")</f>
        <v>View Full Record in Web of Science</v>
      </c>
    </row>
    <row r="32" spans="1:72" x14ac:dyDescent="0.15">
      <c r="A32" t="s">
        <v>72</v>
      </c>
      <c r="B32" t="s">
        <v>7780</v>
      </c>
      <c r="C32" t="s">
        <v>74</v>
      </c>
      <c r="D32" t="s">
        <v>74</v>
      </c>
      <c r="E32" t="s">
        <v>74</v>
      </c>
      <c r="F32" t="s">
        <v>7781</v>
      </c>
      <c r="G32" t="s">
        <v>74</v>
      </c>
      <c r="H32" t="s">
        <v>74</v>
      </c>
      <c r="I32" t="s">
        <v>7782</v>
      </c>
      <c r="J32" t="s">
        <v>5462</v>
      </c>
      <c r="K32" t="s">
        <v>74</v>
      </c>
      <c r="L32" t="s">
        <v>74</v>
      </c>
      <c r="M32" t="s">
        <v>74</v>
      </c>
      <c r="N32" t="s">
        <v>78</v>
      </c>
      <c r="O32" t="s">
        <v>74</v>
      </c>
      <c r="P32" t="s">
        <v>74</v>
      </c>
      <c r="Q32" t="s">
        <v>74</v>
      </c>
      <c r="R32" t="s">
        <v>74</v>
      </c>
      <c r="S32" t="s">
        <v>74</v>
      </c>
      <c r="T32" t="s">
        <v>7783</v>
      </c>
      <c r="U32" t="s">
        <v>7784</v>
      </c>
      <c r="V32" t="s">
        <v>7785</v>
      </c>
      <c r="W32" t="s">
        <v>7786</v>
      </c>
      <c r="X32" t="s">
        <v>7787</v>
      </c>
      <c r="Y32" t="s">
        <v>7788</v>
      </c>
      <c r="Z32" t="s">
        <v>7789</v>
      </c>
      <c r="AA32" t="s">
        <v>74</v>
      </c>
      <c r="AB32" t="s">
        <v>7790</v>
      </c>
      <c r="AC32" t="s">
        <v>74</v>
      </c>
      <c r="AD32" t="s">
        <v>74</v>
      </c>
      <c r="AE32" t="s">
        <v>74</v>
      </c>
      <c r="AF32" t="s">
        <v>74</v>
      </c>
      <c r="AG32">
        <v>39</v>
      </c>
      <c r="AH32">
        <v>175</v>
      </c>
      <c r="AI32">
        <v>185</v>
      </c>
      <c r="AJ32">
        <v>8</v>
      </c>
      <c r="AK32">
        <v>88</v>
      </c>
      <c r="AL32" t="s">
        <v>74</v>
      </c>
      <c r="AM32" t="s">
        <v>74</v>
      </c>
      <c r="AN32" t="s">
        <v>74</v>
      </c>
      <c r="AO32" t="s">
        <v>5472</v>
      </c>
      <c r="AP32" t="s">
        <v>5473</v>
      </c>
      <c r="AQ32" t="s">
        <v>74</v>
      </c>
      <c r="AR32" t="s">
        <v>74</v>
      </c>
      <c r="AS32" t="s">
        <v>74</v>
      </c>
      <c r="AT32" t="s">
        <v>108</v>
      </c>
      <c r="AU32">
        <v>2019</v>
      </c>
      <c r="AV32">
        <v>156</v>
      </c>
      <c r="AW32">
        <v>1</v>
      </c>
      <c r="AX32" t="s">
        <v>74</v>
      </c>
      <c r="AY32" t="s">
        <v>74</v>
      </c>
      <c r="AZ32" t="s">
        <v>74</v>
      </c>
      <c r="BA32" t="s">
        <v>74</v>
      </c>
      <c r="BB32">
        <v>108</v>
      </c>
      <c r="BC32" t="s">
        <v>109</v>
      </c>
      <c r="BD32" t="s">
        <v>74</v>
      </c>
      <c r="BE32" t="s">
        <v>7791</v>
      </c>
      <c r="BF32" t="str">
        <f>HYPERLINK("http://dx.doi.org/10.1053/j.gastro.2018.09.022","http://dx.doi.org/10.1053/j.gastro.2018.09.022")</f>
        <v>http://dx.doi.org/10.1053/j.gastro.2018.09.022</v>
      </c>
      <c r="BG32" t="s">
        <v>74</v>
      </c>
      <c r="BH32" t="s">
        <v>74</v>
      </c>
      <c r="BI32" t="s">
        <v>74</v>
      </c>
      <c r="BJ32" t="s">
        <v>5475</v>
      </c>
      <c r="BK32" t="s">
        <v>112</v>
      </c>
      <c r="BL32" t="s">
        <v>5475</v>
      </c>
      <c r="BM32" t="s">
        <v>74</v>
      </c>
      <c r="BN32">
        <v>30240661</v>
      </c>
      <c r="BO32" t="s">
        <v>74</v>
      </c>
      <c r="BP32" t="s">
        <v>420</v>
      </c>
      <c r="BQ32" t="s">
        <v>421</v>
      </c>
      <c r="BR32" t="s">
        <v>93</v>
      </c>
      <c r="BS32" t="s">
        <v>7792</v>
      </c>
      <c r="BT32" t="str">
        <f>HYPERLINK("https%3A%2F%2Fwww.webofscience.com%2Fwos%2Fwoscc%2Ffull-record%2FWOS:000453401000027","View Full Record in Web of Science")</f>
        <v>View Full Record in Web of Science</v>
      </c>
    </row>
    <row r="33" spans="1:72" x14ac:dyDescent="0.15">
      <c r="A33" t="s">
        <v>72</v>
      </c>
      <c r="B33" t="s">
        <v>683</v>
      </c>
      <c r="C33" t="s">
        <v>74</v>
      </c>
      <c r="D33" t="s">
        <v>74</v>
      </c>
      <c r="E33" t="s">
        <v>74</v>
      </c>
      <c r="F33" t="s">
        <v>684</v>
      </c>
      <c r="G33" t="s">
        <v>74</v>
      </c>
      <c r="H33" t="s">
        <v>74</v>
      </c>
      <c r="I33" t="s">
        <v>685</v>
      </c>
      <c r="J33" t="s">
        <v>686</v>
      </c>
      <c r="K33" t="s">
        <v>74</v>
      </c>
      <c r="L33" t="s">
        <v>74</v>
      </c>
      <c r="M33" t="s">
        <v>74</v>
      </c>
      <c r="N33" t="s">
        <v>78</v>
      </c>
      <c r="O33" t="s">
        <v>74</v>
      </c>
      <c r="P33" t="s">
        <v>74</v>
      </c>
      <c r="Q33" t="s">
        <v>74</v>
      </c>
      <c r="R33" t="s">
        <v>74</v>
      </c>
      <c r="S33" t="s">
        <v>74</v>
      </c>
      <c r="T33" t="s">
        <v>687</v>
      </c>
      <c r="U33" t="s">
        <v>688</v>
      </c>
      <c r="V33" t="s">
        <v>689</v>
      </c>
      <c r="W33" t="s">
        <v>690</v>
      </c>
      <c r="X33" t="s">
        <v>691</v>
      </c>
      <c r="Y33" t="s">
        <v>692</v>
      </c>
      <c r="Z33" t="s">
        <v>693</v>
      </c>
      <c r="AA33" t="s">
        <v>694</v>
      </c>
      <c r="AB33" t="s">
        <v>695</v>
      </c>
      <c r="AC33" t="s">
        <v>74</v>
      </c>
      <c r="AD33" t="s">
        <v>74</v>
      </c>
      <c r="AE33" t="s">
        <v>74</v>
      </c>
      <c r="AF33" t="s">
        <v>74</v>
      </c>
      <c r="AG33">
        <v>39</v>
      </c>
      <c r="AH33">
        <v>168</v>
      </c>
      <c r="AI33">
        <v>179</v>
      </c>
      <c r="AJ33">
        <v>19</v>
      </c>
      <c r="AK33">
        <v>288</v>
      </c>
      <c r="AL33" t="s">
        <v>74</v>
      </c>
      <c r="AM33" t="s">
        <v>74</v>
      </c>
      <c r="AN33" t="s">
        <v>74</v>
      </c>
      <c r="AO33" t="s">
        <v>696</v>
      </c>
      <c r="AP33" t="s">
        <v>697</v>
      </c>
      <c r="AQ33" t="s">
        <v>74</v>
      </c>
      <c r="AR33" t="s">
        <v>74</v>
      </c>
      <c r="AS33" t="s">
        <v>74</v>
      </c>
      <c r="AT33" t="s">
        <v>503</v>
      </c>
      <c r="AU33">
        <v>2017</v>
      </c>
      <c r="AV33">
        <v>11</v>
      </c>
      <c r="AW33">
        <v>7</v>
      </c>
      <c r="AX33" t="s">
        <v>74</v>
      </c>
      <c r="AY33" t="s">
        <v>74</v>
      </c>
      <c r="AZ33" t="s">
        <v>74</v>
      </c>
      <c r="BA33" t="s">
        <v>74</v>
      </c>
      <c r="BB33">
        <v>6641</v>
      </c>
      <c r="BC33">
        <v>6651</v>
      </c>
      <c r="BD33" t="s">
        <v>74</v>
      </c>
      <c r="BE33" t="s">
        <v>698</v>
      </c>
      <c r="BF33" t="str">
        <f>HYPERLINK("http://dx.doi.org/10.1021/acsnano.7b00549","http://dx.doi.org/10.1021/acsnano.7b00549")</f>
        <v>http://dx.doi.org/10.1021/acsnano.7b00549</v>
      </c>
      <c r="BG33" t="s">
        <v>74</v>
      </c>
      <c r="BH33" t="s">
        <v>74</v>
      </c>
      <c r="BI33" t="s">
        <v>74</v>
      </c>
      <c r="BJ33" t="s">
        <v>699</v>
      </c>
      <c r="BK33" t="s">
        <v>112</v>
      </c>
      <c r="BL33" t="s">
        <v>700</v>
      </c>
      <c r="BM33" t="s">
        <v>74</v>
      </c>
      <c r="BN33">
        <v>28671449</v>
      </c>
      <c r="BO33" t="s">
        <v>74</v>
      </c>
      <c r="BP33" t="s">
        <v>74</v>
      </c>
      <c r="BQ33" t="s">
        <v>74</v>
      </c>
      <c r="BR33" t="s">
        <v>93</v>
      </c>
      <c r="BS33" t="s">
        <v>701</v>
      </c>
      <c r="BT33" t="str">
        <f>HYPERLINK("https%3A%2F%2Fwww.webofscience.com%2Fwos%2Fwoscc%2Ffull-record%2FWOS:000406649700012","View Full Record in Web of Science")</f>
        <v>View Full Record in Web of Science</v>
      </c>
    </row>
    <row r="34" spans="1:72" x14ac:dyDescent="0.15">
      <c r="A34" t="s">
        <v>72</v>
      </c>
      <c r="B34" t="s">
        <v>6712</v>
      </c>
      <c r="C34" t="s">
        <v>74</v>
      </c>
      <c r="D34" t="s">
        <v>74</v>
      </c>
      <c r="E34" t="s">
        <v>74</v>
      </c>
      <c r="F34" t="s">
        <v>6712</v>
      </c>
      <c r="G34" t="s">
        <v>74</v>
      </c>
      <c r="H34" t="s">
        <v>74</v>
      </c>
      <c r="I34" t="s">
        <v>6713</v>
      </c>
      <c r="J34" t="s">
        <v>929</v>
      </c>
      <c r="K34" t="s">
        <v>74</v>
      </c>
      <c r="L34" t="s">
        <v>74</v>
      </c>
      <c r="M34" t="s">
        <v>74</v>
      </c>
      <c r="N34" t="s">
        <v>78</v>
      </c>
      <c r="O34" t="s">
        <v>74</v>
      </c>
      <c r="P34" t="s">
        <v>74</v>
      </c>
      <c r="Q34" t="s">
        <v>74</v>
      </c>
      <c r="R34" t="s">
        <v>74</v>
      </c>
      <c r="S34" t="s">
        <v>74</v>
      </c>
      <c r="T34" t="s">
        <v>74</v>
      </c>
      <c r="U34" t="s">
        <v>6714</v>
      </c>
      <c r="V34" t="s">
        <v>6715</v>
      </c>
      <c r="W34" t="s">
        <v>6716</v>
      </c>
      <c r="X34" t="s">
        <v>6717</v>
      </c>
      <c r="Y34" t="s">
        <v>6718</v>
      </c>
      <c r="Z34" t="s">
        <v>6719</v>
      </c>
      <c r="AA34" t="s">
        <v>74</v>
      </c>
      <c r="AB34" t="s">
        <v>6720</v>
      </c>
      <c r="AC34" t="s">
        <v>74</v>
      </c>
      <c r="AD34" t="s">
        <v>74</v>
      </c>
      <c r="AE34" t="s">
        <v>74</v>
      </c>
      <c r="AF34" t="s">
        <v>74</v>
      </c>
      <c r="AG34">
        <v>46</v>
      </c>
      <c r="AH34">
        <v>168</v>
      </c>
      <c r="AI34">
        <v>175</v>
      </c>
      <c r="AJ34">
        <v>1</v>
      </c>
      <c r="AK34">
        <v>26</v>
      </c>
      <c r="AL34" t="s">
        <v>74</v>
      </c>
      <c r="AM34" t="s">
        <v>74</v>
      </c>
      <c r="AN34" t="s">
        <v>74</v>
      </c>
      <c r="AO34" t="s">
        <v>939</v>
      </c>
      <c r="AP34" t="s">
        <v>940</v>
      </c>
      <c r="AQ34" t="s">
        <v>74</v>
      </c>
      <c r="AR34" t="s">
        <v>74</v>
      </c>
      <c r="AS34" t="s">
        <v>74</v>
      </c>
      <c r="AT34" t="s">
        <v>6721</v>
      </c>
      <c r="AU34">
        <v>2004</v>
      </c>
      <c r="AV34">
        <v>279</v>
      </c>
      <c r="AW34">
        <v>17</v>
      </c>
      <c r="AX34" t="s">
        <v>74</v>
      </c>
      <c r="AY34" t="s">
        <v>74</v>
      </c>
      <c r="AZ34" t="s">
        <v>74</v>
      </c>
      <c r="BA34" t="s">
        <v>74</v>
      </c>
      <c r="BB34">
        <v>17951</v>
      </c>
      <c r="BC34">
        <v>17956</v>
      </c>
      <c r="BD34" t="s">
        <v>74</v>
      </c>
      <c r="BE34" t="s">
        <v>6722</v>
      </c>
      <c r="BF34" t="str">
        <f>HYPERLINK("http://dx.doi.org/10.1074/jbc.M311440200","http://dx.doi.org/10.1074/jbc.M311440200")</f>
        <v>http://dx.doi.org/10.1074/jbc.M311440200</v>
      </c>
      <c r="BG34" t="s">
        <v>74</v>
      </c>
      <c r="BH34" t="s">
        <v>74</v>
      </c>
      <c r="BI34" t="s">
        <v>74</v>
      </c>
      <c r="BJ34" t="s">
        <v>92</v>
      </c>
      <c r="BK34" t="s">
        <v>112</v>
      </c>
      <c r="BL34" t="s">
        <v>92</v>
      </c>
      <c r="BM34" t="s">
        <v>74</v>
      </c>
      <c r="BN34">
        <v>14963039</v>
      </c>
      <c r="BO34" t="s">
        <v>74</v>
      </c>
      <c r="BP34" t="s">
        <v>74</v>
      </c>
      <c r="BQ34" t="s">
        <v>74</v>
      </c>
      <c r="BR34" t="s">
        <v>93</v>
      </c>
      <c r="BS34" t="s">
        <v>6723</v>
      </c>
      <c r="BT34" t="str">
        <f>HYPERLINK("https%3A%2F%2Fwww.webofscience.com%2Fwos%2Fwoscc%2Ffull-record%2FWOS:000220870400129","View Full Record in Web of Science")</f>
        <v>View Full Record in Web of Science</v>
      </c>
    </row>
    <row r="35" spans="1:72" x14ac:dyDescent="0.15">
      <c r="A35" t="s">
        <v>72</v>
      </c>
      <c r="B35" t="s">
        <v>423</v>
      </c>
      <c r="C35" t="s">
        <v>74</v>
      </c>
      <c r="D35" t="s">
        <v>74</v>
      </c>
      <c r="E35" t="s">
        <v>74</v>
      </c>
      <c r="F35" t="s">
        <v>424</v>
      </c>
      <c r="G35" t="s">
        <v>74</v>
      </c>
      <c r="H35" t="s">
        <v>74</v>
      </c>
      <c r="I35" t="s">
        <v>425</v>
      </c>
      <c r="J35" t="s">
        <v>426</v>
      </c>
      <c r="K35" t="s">
        <v>74</v>
      </c>
      <c r="L35" t="s">
        <v>74</v>
      </c>
      <c r="M35" t="s">
        <v>74</v>
      </c>
      <c r="N35" t="s">
        <v>78</v>
      </c>
      <c r="O35" t="s">
        <v>74</v>
      </c>
      <c r="P35" t="s">
        <v>74</v>
      </c>
      <c r="Q35" t="s">
        <v>74</v>
      </c>
      <c r="R35" t="s">
        <v>74</v>
      </c>
      <c r="S35" t="s">
        <v>74</v>
      </c>
      <c r="T35" t="s">
        <v>74</v>
      </c>
      <c r="U35" t="s">
        <v>427</v>
      </c>
      <c r="V35" t="s">
        <v>428</v>
      </c>
      <c r="W35" t="s">
        <v>429</v>
      </c>
      <c r="X35" t="s">
        <v>430</v>
      </c>
      <c r="Y35" t="s">
        <v>431</v>
      </c>
      <c r="Z35" t="s">
        <v>432</v>
      </c>
      <c r="AA35" t="s">
        <v>433</v>
      </c>
      <c r="AB35" t="s">
        <v>434</v>
      </c>
      <c r="AC35" t="s">
        <v>74</v>
      </c>
      <c r="AD35" t="s">
        <v>74</v>
      </c>
      <c r="AE35" t="s">
        <v>74</v>
      </c>
      <c r="AF35" t="s">
        <v>74</v>
      </c>
      <c r="AG35">
        <v>27</v>
      </c>
      <c r="AH35">
        <v>165</v>
      </c>
      <c r="AI35">
        <v>170</v>
      </c>
      <c r="AJ35">
        <v>1</v>
      </c>
      <c r="AK35">
        <v>51</v>
      </c>
      <c r="AL35" t="s">
        <v>74</v>
      </c>
      <c r="AM35" t="s">
        <v>74</v>
      </c>
      <c r="AN35" t="s">
        <v>74</v>
      </c>
      <c r="AO35" t="s">
        <v>435</v>
      </c>
      <c r="AP35" t="s">
        <v>436</v>
      </c>
      <c r="AQ35" t="s">
        <v>74</v>
      </c>
      <c r="AR35" t="s">
        <v>74</v>
      </c>
      <c r="AS35" t="s">
        <v>74</v>
      </c>
      <c r="AT35" t="s">
        <v>437</v>
      </c>
      <c r="AU35">
        <v>2014</v>
      </c>
      <c r="AV35">
        <v>74</v>
      </c>
      <c r="AW35">
        <v>14</v>
      </c>
      <c r="AX35" t="s">
        <v>74</v>
      </c>
      <c r="AY35" t="s">
        <v>74</v>
      </c>
      <c r="AZ35" t="s">
        <v>74</v>
      </c>
      <c r="BA35" t="s">
        <v>74</v>
      </c>
      <c r="BB35">
        <v>1379</v>
      </c>
      <c r="BC35">
        <v>1390</v>
      </c>
      <c r="BD35" t="s">
        <v>74</v>
      </c>
      <c r="BE35" t="s">
        <v>438</v>
      </c>
      <c r="BF35" t="str">
        <f>HYPERLINK("http://dx.doi.org/10.1002/pros.22853","http://dx.doi.org/10.1002/pros.22853")</f>
        <v>http://dx.doi.org/10.1002/pros.22853</v>
      </c>
      <c r="BG35" t="s">
        <v>74</v>
      </c>
      <c r="BH35" t="s">
        <v>74</v>
      </c>
      <c r="BI35" t="s">
        <v>74</v>
      </c>
      <c r="BJ35" t="s">
        <v>439</v>
      </c>
      <c r="BK35" t="s">
        <v>112</v>
      </c>
      <c r="BL35" t="s">
        <v>439</v>
      </c>
      <c r="BM35" t="s">
        <v>74</v>
      </c>
      <c r="BN35">
        <v>25111183</v>
      </c>
      <c r="BO35" t="s">
        <v>74</v>
      </c>
      <c r="BP35" t="s">
        <v>74</v>
      </c>
      <c r="BQ35" t="s">
        <v>74</v>
      </c>
      <c r="BR35" t="s">
        <v>93</v>
      </c>
      <c r="BS35" t="s">
        <v>440</v>
      </c>
      <c r="BT35" t="str">
        <f>HYPERLINK("https%3A%2F%2Fwww.webofscience.com%2Fwos%2Fwoscc%2Ffull-record%2FWOS:000341019400003","View Full Record in Web of Science")</f>
        <v>View Full Record in Web of Science</v>
      </c>
    </row>
    <row r="36" spans="1:72" x14ac:dyDescent="0.15">
      <c r="A36" t="s">
        <v>72</v>
      </c>
      <c r="B36" t="s">
        <v>4693</v>
      </c>
      <c r="C36" t="s">
        <v>74</v>
      </c>
      <c r="D36" t="s">
        <v>74</v>
      </c>
      <c r="E36" t="s">
        <v>74</v>
      </c>
      <c r="F36" t="s">
        <v>4694</v>
      </c>
      <c r="G36" t="s">
        <v>74</v>
      </c>
      <c r="H36" t="s">
        <v>74</v>
      </c>
      <c r="I36" t="s">
        <v>4695</v>
      </c>
      <c r="J36" t="s">
        <v>4696</v>
      </c>
      <c r="K36" t="s">
        <v>74</v>
      </c>
      <c r="L36" t="s">
        <v>74</v>
      </c>
      <c r="M36" t="s">
        <v>74</v>
      </c>
      <c r="N36" t="s">
        <v>78</v>
      </c>
      <c r="O36" t="s">
        <v>74</v>
      </c>
      <c r="P36" t="s">
        <v>74</v>
      </c>
      <c r="Q36" t="s">
        <v>74</v>
      </c>
      <c r="R36" t="s">
        <v>74</v>
      </c>
      <c r="S36" t="s">
        <v>74</v>
      </c>
      <c r="T36" t="s">
        <v>74</v>
      </c>
      <c r="U36" t="s">
        <v>4697</v>
      </c>
      <c r="V36" t="s">
        <v>4698</v>
      </c>
      <c r="W36" t="s">
        <v>4699</v>
      </c>
      <c r="X36" t="s">
        <v>4700</v>
      </c>
      <c r="Y36" t="s">
        <v>4701</v>
      </c>
      <c r="Z36" t="s">
        <v>4110</v>
      </c>
      <c r="AA36" t="s">
        <v>4702</v>
      </c>
      <c r="AB36" t="s">
        <v>4703</v>
      </c>
      <c r="AC36" t="s">
        <v>74</v>
      </c>
      <c r="AD36" t="s">
        <v>74</v>
      </c>
      <c r="AE36" t="s">
        <v>74</v>
      </c>
      <c r="AF36" t="s">
        <v>74</v>
      </c>
      <c r="AG36">
        <v>81</v>
      </c>
      <c r="AH36">
        <v>165</v>
      </c>
      <c r="AI36">
        <v>175</v>
      </c>
      <c r="AJ36">
        <v>2</v>
      </c>
      <c r="AK36">
        <v>55</v>
      </c>
      <c r="AL36" t="s">
        <v>74</v>
      </c>
      <c r="AM36" t="s">
        <v>74</v>
      </c>
      <c r="AN36" t="s">
        <v>74</v>
      </c>
      <c r="AO36" t="s">
        <v>4704</v>
      </c>
      <c r="AP36" t="s">
        <v>4705</v>
      </c>
      <c r="AQ36" t="s">
        <v>74</v>
      </c>
      <c r="AR36" t="s">
        <v>74</v>
      </c>
      <c r="AS36" t="s">
        <v>74</v>
      </c>
      <c r="AT36" t="s">
        <v>503</v>
      </c>
      <c r="AU36">
        <v>2014</v>
      </c>
      <c r="AV36">
        <v>196</v>
      </c>
      <c r="AW36">
        <v>13</v>
      </c>
      <c r="AX36" t="s">
        <v>74</v>
      </c>
      <c r="AY36" t="s">
        <v>74</v>
      </c>
      <c r="AZ36" t="s">
        <v>74</v>
      </c>
      <c r="BA36" t="s">
        <v>74</v>
      </c>
      <c r="BB36">
        <v>2355</v>
      </c>
      <c r="BC36">
        <v>2366</v>
      </c>
      <c r="BD36" t="s">
        <v>74</v>
      </c>
      <c r="BE36" t="s">
        <v>4706</v>
      </c>
      <c r="BF36" t="str">
        <f>HYPERLINK("http://dx.doi.org/10.1128/JB.01493-14","http://dx.doi.org/10.1128/JB.01493-14")</f>
        <v>http://dx.doi.org/10.1128/JB.01493-14</v>
      </c>
      <c r="BG36" t="s">
        <v>74</v>
      </c>
      <c r="BH36" t="s">
        <v>74</v>
      </c>
      <c r="BI36" t="s">
        <v>74</v>
      </c>
      <c r="BJ36" t="s">
        <v>1699</v>
      </c>
      <c r="BK36" t="s">
        <v>112</v>
      </c>
      <c r="BL36" t="s">
        <v>1699</v>
      </c>
      <c r="BM36" t="s">
        <v>74</v>
      </c>
      <c r="BN36">
        <v>24748612</v>
      </c>
      <c r="BO36" t="s">
        <v>74</v>
      </c>
      <c r="BP36" t="s">
        <v>74</v>
      </c>
      <c r="BQ36" t="s">
        <v>74</v>
      </c>
      <c r="BR36" t="s">
        <v>93</v>
      </c>
      <c r="BS36" t="s">
        <v>4707</v>
      </c>
      <c r="BT36" t="str">
        <f>HYPERLINK("https%3A%2F%2Fwww.webofscience.com%2Fwos%2Fwoscc%2Ffull-record%2FWOS:000337239900004","View Full Record in Web of Science")</f>
        <v>View Full Record in Web of Science</v>
      </c>
    </row>
    <row r="37" spans="1:72" x14ac:dyDescent="0.15">
      <c r="A37" t="s">
        <v>72</v>
      </c>
      <c r="B37" t="s">
        <v>10374</v>
      </c>
      <c r="C37" t="s">
        <v>74</v>
      </c>
      <c r="D37" t="s">
        <v>74</v>
      </c>
      <c r="E37" t="s">
        <v>74</v>
      </c>
      <c r="F37" t="s">
        <v>10374</v>
      </c>
      <c r="G37" t="s">
        <v>74</v>
      </c>
      <c r="H37" t="s">
        <v>74</v>
      </c>
      <c r="I37" t="s">
        <v>10375</v>
      </c>
      <c r="J37" t="s">
        <v>9316</v>
      </c>
      <c r="K37" t="s">
        <v>74</v>
      </c>
      <c r="L37" t="s">
        <v>74</v>
      </c>
      <c r="M37" t="s">
        <v>74</v>
      </c>
      <c r="N37" t="s">
        <v>78</v>
      </c>
      <c r="O37" t="s">
        <v>74</v>
      </c>
      <c r="P37" t="s">
        <v>74</v>
      </c>
      <c r="Q37" t="s">
        <v>74</v>
      </c>
      <c r="R37" t="s">
        <v>74</v>
      </c>
      <c r="S37" t="s">
        <v>74</v>
      </c>
      <c r="T37" t="s">
        <v>74</v>
      </c>
      <c r="U37" t="s">
        <v>10376</v>
      </c>
      <c r="V37" t="s">
        <v>10377</v>
      </c>
      <c r="W37" t="s">
        <v>10378</v>
      </c>
      <c r="X37" t="s">
        <v>10379</v>
      </c>
      <c r="Y37" t="s">
        <v>10380</v>
      </c>
      <c r="Z37" t="s">
        <v>10381</v>
      </c>
      <c r="AA37" t="s">
        <v>10382</v>
      </c>
      <c r="AB37" t="s">
        <v>74</v>
      </c>
      <c r="AC37" t="s">
        <v>74</v>
      </c>
      <c r="AD37" t="s">
        <v>74</v>
      </c>
      <c r="AE37" t="s">
        <v>74</v>
      </c>
      <c r="AF37" t="s">
        <v>74</v>
      </c>
      <c r="AG37">
        <v>46</v>
      </c>
      <c r="AH37">
        <v>165</v>
      </c>
      <c r="AI37">
        <v>175</v>
      </c>
      <c r="AJ37">
        <v>0</v>
      </c>
      <c r="AK37">
        <v>3</v>
      </c>
      <c r="AL37" t="s">
        <v>74</v>
      </c>
      <c r="AM37" t="s">
        <v>74</v>
      </c>
      <c r="AN37" t="s">
        <v>74</v>
      </c>
      <c r="AO37" t="s">
        <v>9324</v>
      </c>
      <c r="AP37" t="s">
        <v>10383</v>
      </c>
      <c r="AQ37" t="s">
        <v>74</v>
      </c>
      <c r="AR37" t="s">
        <v>74</v>
      </c>
      <c r="AS37" t="s">
        <v>74</v>
      </c>
      <c r="AT37" t="s">
        <v>236</v>
      </c>
      <c r="AU37">
        <v>2000</v>
      </c>
      <c r="AV37">
        <v>74</v>
      </c>
      <c r="AW37">
        <v>21</v>
      </c>
      <c r="AX37" t="s">
        <v>74</v>
      </c>
      <c r="AY37" t="s">
        <v>74</v>
      </c>
      <c r="AZ37" t="s">
        <v>74</v>
      </c>
      <c r="BA37" t="s">
        <v>74</v>
      </c>
      <c r="BB37">
        <v>10063</v>
      </c>
      <c r="BC37">
        <v>10073</v>
      </c>
      <c r="BD37" t="s">
        <v>74</v>
      </c>
      <c r="BE37" t="s">
        <v>10384</v>
      </c>
      <c r="BF37" t="str">
        <f>HYPERLINK("http://dx.doi.org/10.1128/JVI.74.21.10063-10073.2000","http://dx.doi.org/10.1128/JVI.74.21.10063-10073.2000")</f>
        <v>http://dx.doi.org/10.1128/JVI.74.21.10063-10073.2000</v>
      </c>
      <c r="BG37" t="s">
        <v>74</v>
      </c>
      <c r="BH37" t="s">
        <v>74</v>
      </c>
      <c r="BI37" t="s">
        <v>74</v>
      </c>
      <c r="BJ37" t="s">
        <v>401</v>
      </c>
      <c r="BK37" t="s">
        <v>112</v>
      </c>
      <c r="BL37" t="s">
        <v>401</v>
      </c>
      <c r="BM37" t="s">
        <v>74</v>
      </c>
      <c r="BN37">
        <v>11024135</v>
      </c>
      <c r="BO37" t="s">
        <v>74</v>
      </c>
      <c r="BP37" t="s">
        <v>74</v>
      </c>
      <c r="BQ37" t="s">
        <v>74</v>
      </c>
      <c r="BR37" t="s">
        <v>93</v>
      </c>
      <c r="BS37" t="s">
        <v>10385</v>
      </c>
      <c r="BT37" t="str">
        <f>HYPERLINK("https%3A%2F%2Fwww.webofscience.com%2Fwos%2Fwoscc%2Ffull-record%2FWOS:000089819900029","View Full Record in Web of Science")</f>
        <v>View Full Record in Web of Science</v>
      </c>
    </row>
    <row r="38" spans="1:72" x14ac:dyDescent="0.15">
      <c r="A38" t="s">
        <v>72</v>
      </c>
      <c r="B38" t="s">
        <v>403</v>
      </c>
      <c r="C38" t="s">
        <v>74</v>
      </c>
      <c r="D38" t="s">
        <v>74</v>
      </c>
      <c r="E38" t="s">
        <v>74</v>
      </c>
      <c r="F38" t="s">
        <v>404</v>
      </c>
      <c r="G38" t="s">
        <v>74</v>
      </c>
      <c r="H38" t="s">
        <v>74</v>
      </c>
      <c r="I38" t="s">
        <v>405</v>
      </c>
      <c r="J38" t="s">
        <v>406</v>
      </c>
      <c r="K38" t="s">
        <v>74</v>
      </c>
      <c r="L38" t="s">
        <v>74</v>
      </c>
      <c r="M38" t="s">
        <v>74</v>
      </c>
      <c r="N38" t="s">
        <v>78</v>
      </c>
      <c r="O38" t="s">
        <v>74</v>
      </c>
      <c r="P38" t="s">
        <v>74</v>
      </c>
      <c r="Q38" t="s">
        <v>74</v>
      </c>
      <c r="R38" t="s">
        <v>74</v>
      </c>
      <c r="S38" t="s">
        <v>74</v>
      </c>
      <c r="T38" t="s">
        <v>407</v>
      </c>
      <c r="U38" t="s">
        <v>408</v>
      </c>
      <c r="V38" t="s">
        <v>409</v>
      </c>
      <c r="W38" t="s">
        <v>410</v>
      </c>
      <c r="X38" t="s">
        <v>411</v>
      </c>
      <c r="Y38" t="s">
        <v>412</v>
      </c>
      <c r="Z38" t="s">
        <v>413</v>
      </c>
      <c r="AA38" t="s">
        <v>414</v>
      </c>
      <c r="AB38" t="s">
        <v>415</v>
      </c>
      <c r="AC38" t="s">
        <v>74</v>
      </c>
      <c r="AD38" t="s">
        <v>74</v>
      </c>
      <c r="AE38" t="s">
        <v>74</v>
      </c>
      <c r="AF38" t="s">
        <v>74</v>
      </c>
      <c r="AG38">
        <v>50</v>
      </c>
      <c r="AH38">
        <v>164</v>
      </c>
      <c r="AI38">
        <v>166</v>
      </c>
      <c r="AJ38">
        <v>10</v>
      </c>
      <c r="AK38">
        <v>36</v>
      </c>
      <c r="AL38" t="s">
        <v>74</v>
      </c>
      <c r="AM38" t="s">
        <v>74</v>
      </c>
      <c r="AN38" t="s">
        <v>74</v>
      </c>
      <c r="AO38" t="s">
        <v>416</v>
      </c>
      <c r="AP38" t="s">
        <v>74</v>
      </c>
      <c r="AQ38" t="s">
        <v>74</v>
      </c>
      <c r="AR38" t="s">
        <v>74</v>
      </c>
      <c r="AS38" t="s">
        <v>74</v>
      </c>
      <c r="AT38" t="s">
        <v>417</v>
      </c>
      <c r="AU38">
        <v>2018</v>
      </c>
      <c r="AV38">
        <v>7</v>
      </c>
      <c r="AW38">
        <v>1</v>
      </c>
      <c r="AX38" t="s">
        <v>74</v>
      </c>
      <c r="AY38" t="s">
        <v>74</v>
      </c>
      <c r="AZ38" t="s">
        <v>74</v>
      </c>
      <c r="BA38" t="s">
        <v>74</v>
      </c>
      <c r="BB38" t="s">
        <v>74</v>
      </c>
      <c r="BC38" t="s">
        <v>74</v>
      </c>
      <c r="BD38">
        <v>1505403</v>
      </c>
      <c r="BE38" t="s">
        <v>418</v>
      </c>
      <c r="BF38" t="str">
        <f>HYPERLINK("http://dx.doi.org/10.1080/20013078.2018.1505403","http://dx.doi.org/10.1080/20013078.2018.1505403")</f>
        <v>http://dx.doi.org/10.1080/20013078.2018.1505403</v>
      </c>
      <c r="BG38" t="s">
        <v>74</v>
      </c>
      <c r="BH38" t="s">
        <v>74</v>
      </c>
      <c r="BI38" t="s">
        <v>74</v>
      </c>
      <c r="BJ38" t="s">
        <v>419</v>
      </c>
      <c r="BK38" t="s">
        <v>112</v>
      </c>
      <c r="BL38" t="s">
        <v>419</v>
      </c>
      <c r="BM38" t="s">
        <v>74</v>
      </c>
      <c r="BN38">
        <v>30108686</v>
      </c>
      <c r="BO38" t="s">
        <v>74</v>
      </c>
      <c r="BP38" t="s">
        <v>420</v>
      </c>
      <c r="BQ38" t="s">
        <v>421</v>
      </c>
      <c r="BR38" t="s">
        <v>93</v>
      </c>
      <c r="BS38" t="s">
        <v>422</v>
      </c>
      <c r="BT38" t="str">
        <f>HYPERLINK("https%3A%2F%2Fwww.webofscience.com%2Fwos%2Fwoscc%2Ffull-record%2FWOS:000441055200001","View Full Record in Web of Science")</f>
        <v>View Full Record in Web of Science</v>
      </c>
    </row>
    <row r="39" spans="1:72" x14ac:dyDescent="0.15">
      <c r="A39" t="s">
        <v>72</v>
      </c>
      <c r="B39" t="s">
        <v>5822</v>
      </c>
      <c r="C39" t="s">
        <v>74</v>
      </c>
      <c r="D39" t="s">
        <v>74</v>
      </c>
      <c r="E39" t="s">
        <v>74</v>
      </c>
      <c r="F39" t="s">
        <v>5823</v>
      </c>
      <c r="G39" t="s">
        <v>74</v>
      </c>
      <c r="H39" t="s">
        <v>74</v>
      </c>
      <c r="I39" t="s">
        <v>5824</v>
      </c>
      <c r="J39" t="s">
        <v>5562</v>
      </c>
      <c r="K39" t="s">
        <v>74</v>
      </c>
      <c r="L39" t="s">
        <v>74</v>
      </c>
      <c r="M39" t="s">
        <v>74</v>
      </c>
      <c r="N39" t="s">
        <v>78</v>
      </c>
      <c r="O39" t="s">
        <v>74</v>
      </c>
      <c r="P39" t="s">
        <v>74</v>
      </c>
      <c r="Q39" t="s">
        <v>74</v>
      </c>
      <c r="R39" t="s">
        <v>74</v>
      </c>
      <c r="S39" t="s">
        <v>74</v>
      </c>
      <c r="T39" t="s">
        <v>74</v>
      </c>
      <c r="U39" t="s">
        <v>5825</v>
      </c>
      <c r="V39" t="s">
        <v>5826</v>
      </c>
      <c r="W39" t="s">
        <v>5827</v>
      </c>
      <c r="X39" t="s">
        <v>5828</v>
      </c>
      <c r="Y39" t="s">
        <v>5829</v>
      </c>
      <c r="Z39" t="s">
        <v>5830</v>
      </c>
      <c r="AA39" t="s">
        <v>5831</v>
      </c>
      <c r="AB39" t="s">
        <v>5832</v>
      </c>
      <c r="AC39" t="s">
        <v>74</v>
      </c>
      <c r="AD39" t="s">
        <v>74</v>
      </c>
      <c r="AE39" t="s">
        <v>74</v>
      </c>
      <c r="AF39" t="s">
        <v>74</v>
      </c>
      <c r="AG39">
        <v>41</v>
      </c>
      <c r="AH39">
        <v>154</v>
      </c>
      <c r="AI39">
        <v>159</v>
      </c>
      <c r="AJ39">
        <v>17</v>
      </c>
      <c r="AK39">
        <v>80</v>
      </c>
      <c r="AL39" t="s">
        <v>74</v>
      </c>
      <c r="AM39" t="s">
        <v>74</v>
      </c>
      <c r="AN39" t="s">
        <v>74</v>
      </c>
      <c r="AO39" t="s">
        <v>5571</v>
      </c>
      <c r="AP39" t="s">
        <v>5572</v>
      </c>
      <c r="AQ39" t="s">
        <v>74</v>
      </c>
      <c r="AR39" t="s">
        <v>74</v>
      </c>
      <c r="AS39" t="s">
        <v>74</v>
      </c>
      <c r="AT39" t="s">
        <v>5833</v>
      </c>
      <c r="AU39">
        <v>2017</v>
      </c>
      <c r="AV39">
        <v>25</v>
      </c>
      <c r="AW39">
        <v>6</v>
      </c>
      <c r="AX39" t="s">
        <v>74</v>
      </c>
      <c r="AY39" t="s">
        <v>74</v>
      </c>
      <c r="AZ39" t="s">
        <v>74</v>
      </c>
      <c r="BA39" t="s">
        <v>74</v>
      </c>
      <c r="BB39">
        <v>1269</v>
      </c>
      <c r="BC39">
        <v>1278</v>
      </c>
      <c r="BD39" t="s">
        <v>74</v>
      </c>
      <c r="BE39" t="s">
        <v>5834</v>
      </c>
      <c r="BF39" t="str">
        <f>HYPERLINK("http://dx.doi.org/10.1016/j.ymthe.2017.03.030","http://dx.doi.org/10.1016/j.ymthe.2017.03.030")</f>
        <v>http://dx.doi.org/10.1016/j.ymthe.2017.03.030</v>
      </c>
      <c r="BG39" t="s">
        <v>74</v>
      </c>
      <c r="BH39" t="s">
        <v>74</v>
      </c>
      <c r="BI39" t="s">
        <v>74</v>
      </c>
      <c r="BJ39" t="s">
        <v>5574</v>
      </c>
      <c r="BK39" t="s">
        <v>112</v>
      </c>
      <c r="BL39" t="s">
        <v>5575</v>
      </c>
      <c r="BM39" t="s">
        <v>74</v>
      </c>
      <c r="BN39">
        <v>28412169</v>
      </c>
      <c r="BO39" t="s">
        <v>74</v>
      </c>
      <c r="BP39" t="s">
        <v>420</v>
      </c>
      <c r="BQ39" t="s">
        <v>421</v>
      </c>
      <c r="BR39" t="s">
        <v>93</v>
      </c>
      <c r="BS39" t="s">
        <v>5835</v>
      </c>
      <c r="BT39" t="str">
        <f>HYPERLINK("https%3A%2F%2Fwww.webofscience.com%2Fwos%2Fwoscc%2Ffull-record%2FWOS:000403196300004","View Full Record in Web of Science")</f>
        <v>View Full Record in Web of Science</v>
      </c>
    </row>
    <row r="40" spans="1:72" x14ac:dyDescent="0.15">
      <c r="A40" t="s">
        <v>72</v>
      </c>
      <c r="B40" t="s">
        <v>7508</v>
      </c>
      <c r="C40" t="s">
        <v>74</v>
      </c>
      <c r="D40" t="s">
        <v>74</v>
      </c>
      <c r="E40" t="s">
        <v>74</v>
      </c>
      <c r="F40" t="s">
        <v>7509</v>
      </c>
      <c r="G40" t="s">
        <v>74</v>
      </c>
      <c r="H40" t="s">
        <v>74</v>
      </c>
      <c r="I40" t="s">
        <v>7510</v>
      </c>
      <c r="J40" t="s">
        <v>599</v>
      </c>
      <c r="K40" t="s">
        <v>74</v>
      </c>
      <c r="L40" t="s">
        <v>74</v>
      </c>
      <c r="M40" t="s">
        <v>74</v>
      </c>
      <c r="N40" t="s">
        <v>78</v>
      </c>
      <c r="O40" t="s">
        <v>74</v>
      </c>
      <c r="P40" t="s">
        <v>74</v>
      </c>
      <c r="Q40" t="s">
        <v>74</v>
      </c>
      <c r="R40" t="s">
        <v>74</v>
      </c>
      <c r="S40" t="s">
        <v>74</v>
      </c>
      <c r="T40" t="s">
        <v>74</v>
      </c>
      <c r="U40" t="s">
        <v>7511</v>
      </c>
      <c r="V40" t="s">
        <v>7512</v>
      </c>
      <c r="W40" t="s">
        <v>7513</v>
      </c>
      <c r="X40" t="s">
        <v>7514</v>
      </c>
      <c r="Y40" t="s">
        <v>7515</v>
      </c>
      <c r="Z40" t="s">
        <v>7516</v>
      </c>
      <c r="AA40" t="s">
        <v>7517</v>
      </c>
      <c r="AB40" t="s">
        <v>7518</v>
      </c>
      <c r="AC40" t="s">
        <v>74</v>
      </c>
      <c r="AD40" t="s">
        <v>74</v>
      </c>
      <c r="AE40" t="s">
        <v>74</v>
      </c>
      <c r="AF40" t="s">
        <v>74</v>
      </c>
      <c r="AG40">
        <v>50</v>
      </c>
      <c r="AH40">
        <v>154</v>
      </c>
      <c r="AI40">
        <v>158</v>
      </c>
      <c r="AJ40">
        <v>4</v>
      </c>
      <c r="AK40">
        <v>48</v>
      </c>
      <c r="AL40" t="s">
        <v>74</v>
      </c>
      <c r="AM40" t="s">
        <v>74</v>
      </c>
      <c r="AN40" t="s">
        <v>74</v>
      </c>
      <c r="AO40" t="s">
        <v>609</v>
      </c>
      <c r="AP40" t="s">
        <v>74</v>
      </c>
      <c r="AQ40" t="s">
        <v>74</v>
      </c>
      <c r="AR40" t="s">
        <v>74</v>
      </c>
      <c r="AS40" t="s">
        <v>74</v>
      </c>
      <c r="AT40" t="s">
        <v>7519</v>
      </c>
      <c r="AU40">
        <v>2011</v>
      </c>
      <c r="AV40">
        <v>108</v>
      </c>
      <c r="AW40">
        <v>21</v>
      </c>
      <c r="AX40" t="s">
        <v>74</v>
      </c>
      <c r="AY40" t="s">
        <v>74</v>
      </c>
      <c r="AZ40" t="s">
        <v>74</v>
      </c>
      <c r="BA40" t="s">
        <v>74</v>
      </c>
      <c r="BB40">
        <v>8809</v>
      </c>
      <c r="BC40">
        <v>8814</v>
      </c>
      <c r="BD40" t="s">
        <v>74</v>
      </c>
      <c r="BE40" t="s">
        <v>7520</v>
      </c>
      <c r="BF40" t="str">
        <f>HYPERLINK("http://dx.doi.org/10.1073/pnas.1019330108","http://dx.doi.org/10.1073/pnas.1019330108")</f>
        <v>http://dx.doi.org/10.1073/pnas.1019330108</v>
      </c>
      <c r="BG40" t="s">
        <v>74</v>
      </c>
      <c r="BH40" t="s">
        <v>74</v>
      </c>
      <c r="BI40" t="s">
        <v>74</v>
      </c>
      <c r="BJ40" t="s">
        <v>545</v>
      </c>
      <c r="BK40" t="s">
        <v>112</v>
      </c>
      <c r="BL40" t="s">
        <v>546</v>
      </c>
      <c r="BM40" t="s">
        <v>74</v>
      </c>
      <c r="BN40">
        <v>21555566</v>
      </c>
      <c r="BO40" t="s">
        <v>74</v>
      </c>
      <c r="BP40" t="s">
        <v>74</v>
      </c>
      <c r="BQ40" t="s">
        <v>74</v>
      </c>
      <c r="BR40" t="s">
        <v>93</v>
      </c>
      <c r="BS40" t="s">
        <v>7521</v>
      </c>
      <c r="BT40" t="str">
        <f>HYPERLINK("https%3A%2F%2Fwww.webofscience.com%2Fwos%2Fwoscc%2Ffull-record%2FWOS:000290908000058","View Full Record in Web of Science")</f>
        <v>View Full Record in Web of Science</v>
      </c>
    </row>
    <row r="41" spans="1:72" x14ac:dyDescent="0.15">
      <c r="A41" t="s">
        <v>72</v>
      </c>
      <c r="B41" t="s">
        <v>441</v>
      </c>
      <c r="C41" t="s">
        <v>74</v>
      </c>
      <c r="D41" t="s">
        <v>74</v>
      </c>
      <c r="E41" t="s">
        <v>74</v>
      </c>
      <c r="F41" t="s">
        <v>442</v>
      </c>
      <c r="G41" t="s">
        <v>74</v>
      </c>
      <c r="H41" t="s">
        <v>74</v>
      </c>
      <c r="I41" t="s">
        <v>443</v>
      </c>
      <c r="J41" t="s">
        <v>406</v>
      </c>
      <c r="K41" t="s">
        <v>74</v>
      </c>
      <c r="L41" t="s">
        <v>74</v>
      </c>
      <c r="M41" t="s">
        <v>74</v>
      </c>
      <c r="N41" t="s">
        <v>78</v>
      </c>
      <c r="O41" t="s">
        <v>74</v>
      </c>
      <c r="P41" t="s">
        <v>74</v>
      </c>
      <c r="Q41" t="s">
        <v>74</v>
      </c>
      <c r="R41" t="s">
        <v>74</v>
      </c>
      <c r="S41" t="s">
        <v>74</v>
      </c>
      <c r="T41" t="s">
        <v>444</v>
      </c>
      <c r="U41" t="s">
        <v>445</v>
      </c>
      <c r="V41" t="s">
        <v>446</v>
      </c>
      <c r="W41" t="s">
        <v>447</v>
      </c>
      <c r="X41" t="s">
        <v>229</v>
      </c>
      <c r="Y41" t="s">
        <v>448</v>
      </c>
      <c r="Z41" t="s">
        <v>449</v>
      </c>
      <c r="AA41" t="s">
        <v>450</v>
      </c>
      <c r="AB41" t="s">
        <v>451</v>
      </c>
      <c r="AC41" t="s">
        <v>74</v>
      </c>
      <c r="AD41" t="s">
        <v>74</v>
      </c>
      <c r="AE41" t="s">
        <v>74</v>
      </c>
      <c r="AF41" t="s">
        <v>74</v>
      </c>
      <c r="AG41">
        <v>68</v>
      </c>
      <c r="AH41">
        <v>153</v>
      </c>
      <c r="AI41">
        <v>160</v>
      </c>
      <c r="AJ41">
        <v>5</v>
      </c>
      <c r="AK41">
        <v>23</v>
      </c>
      <c r="AL41" t="s">
        <v>74</v>
      </c>
      <c r="AM41" t="s">
        <v>74</v>
      </c>
      <c r="AN41" t="s">
        <v>74</v>
      </c>
      <c r="AO41" t="s">
        <v>74</v>
      </c>
      <c r="AP41" t="s">
        <v>416</v>
      </c>
      <c r="AQ41" t="s">
        <v>74</v>
      </c>
      <c r="AR41" t="s">
        <v>74</v>
      </c>
      <c r="AS41" t="s">
        <v>74</v>
      </c>
      <c r="AT41" t="s">
        <v>74</v>
      </c>
      <c r="AU41">
        <v>2015</v>
      </c>
      <c r="AV41">
        <v>4</v>
      </c>
      <c r="AW41" t="s">
        <v>74</v>
      </c>
      <c r="AX41" t="s">
        <v>74</v>
      </c>
      <c r="AY41" t="s">
        <v>74</v>
      </c>
      <c r="AZ41" t="s">
        <v>74</v>
      </c>
      <c r="BA41" t="s">
        <v>74</v>
      </c>
      <c r="BB41" t="s">
        <v>74</v>
      </c>
      <c r="BC41" t="s">
        <v>74</v>
      </c>
      <c r="BD41">
        <v>28239</v>
      </c>
      <c r="BE41" t="s">
        <v>452</v>
      </c>
      <c r="BF41" t="str">
        <f>HYPERLINK("http://dx.doi.org/10.3402/jev.v4.28239","http://dx.doi.org/10.3402/jev.v4.28239")</f>
        <v>http://dx.doi.org/10.3402/jev.v4.28239</v>
      </c>
      <c r="BG41" t="s">
        <v>74</v>
      </c>
      <c r="BH41" t="s">
        <v>74</v>
      </c>
      <c r="BI41" t="s">
        <v>74</v>
      </c>
      <c r="BJ41" t="s">
        <v>419</v>
      </c>
      <c r="BK41" t="s">
        <v>91</v>
      </c>
      <c r="BL41" t="s">
        <v>419</v>
      </c>
      <c r="BM41" t="s">
        <v>74</v>
      </c>
      <c r="BN41">
        <v>26142461</v>
      </c>
      <c r="BO41" t="s">
        <v>74</v>
      </c>
      <c r="BP41" t="s">
        <v>74</v>
      </c>
      <c r="BQ41" t="s">
        <v>74</v>
      </c>
      <c r="BR41" t="s">
        <v>93</v>
      </c>
      <c r="BS41" t="s">
        <v>453</v>
      </c>
      <c r="BT41" t="str">
        <f>HYPERLINK("https%3A%2F%2Fwww.webofscience.com%2Fwos%2Fwoscc%2Ffull-record%2FWOS:000365074800001","View Full Record in Web of Science")</f>
        <v>View Full Record in Web of Science</v>
      </c>
    </row>
    <row r="42" spans="1:72" x14ac:dyDescent="0.15">
      <c r="A42" t="s">
        <v>72</v>
      </c>
      <c r="B42" t="s">
        <v>6628</v>
      </c>
      <c r="C42" t="s">
        <v>74</v>
      </c>
      <c r="D42" t="s">
        <v>74</v>
      </c>
      <c r="E42" t="s">
        <v>74</v>
      </c>
      <c r="F42" t="s">
        <v>6629</v>
      </c>
      <c r="G42" t="s">
        <v>74</v>
      </c>
      <c r="H42" t="s">
        <v>74</v>
      </c>
      <c r="I42" t="s">
        <v>6630</v>
      </c>
      <c r="J42" t="s">
        <v>2013</v>
      </c>
      <c r="K42" t="s">
        <v>74</v>
      </c>
      <c r="L42" t="s">
        <v>74</v>
      </c>
      <c r="M42" t="s">
        <v>74</v>
      </c>
      <c r="N42" t="s">
        <v>78</v>
      </c>
      <c r="O42" t="s">
        <v>74</v>
      </c>
      <c r="P42" t="s">
        <v>74</v>
      </c>
      <c r="Q42" t="s">
        <v>74</v>
      </c>
      <c r="R42" t="s">
        <v>74</v>
      </c>
      <c r="S42" t="s">
        <v>74</v>
      </c>
      <c r="T42" t="s">
        <v>74</v>
      </c>
      <c r="U42" t="s">
        <v>6631</v>
      </c>
      <c r="V42" t="s">
        <v>6632</v>
      </c>
      <c r="W42" t="s">
        <v>6633</v>
      </c>
      <c r="X42" t="s">
        <v>4377</v>
      </c>
      <c r="Y42" t="s">
        <v>6634</v>
      </c>
      <c r="Z42" t="s">
        <v>6635</v>
      </c>
      <c r="AA42" t="s">
        <v>6636</v>
      </c>
      <c r="AB42" t="s">
        <v>6637</v>
      </c>
      <c r="AC42" t="s">
        <v>74</v>
      </c>
      <c r="AD42" t="s">
        <v>74</v>
      </c>
      <c r="AE42" t="s">
        <v>74</v>
      </c>
      <c r="AF42" t="s">
        <v>74</v>
      </c>
      <c r="AG42">
        <v>43</v>
      </c>
      <c r="AH42">
        <v>153</v>
      </c>
      <c r="AI42">
        <v>153</v>
      </c>
      <c r="AJ42">
        <v>41</v>
      </c>
      <c r="AK42">
        <v>457</v>
      </c>
      <c r="AL42" t="s">
        <v>74</v>
      </c>
      <c r="AM42" t="s">
        <v>74</v>
      </c>
      <c r="AN42" t="s">
        <v>74</v>
      </c>
      <c r="AO42" t="s">
        <v>2022</v>
      </c>
      <c r="AP42" t="s">
        <v>2023</v>
      </c>
      <c r="AQ42" t="s">
        <v>74</v>
      </c>
      <c r="AR42" t="s">
        <v>74</v>
      </c>
      <c r="AS42" t="s">
        <v>74</v>
      </c>
      <c r="AT42" t="s">
        <v>2087</v>
      </c>
      <c r="AU42">
        <v>2017</v>
      </c>
      <c r="AV42">
        <v>89</v>
      </c>
      <c r="AW42">
        <v>22</v>
      </c>
      <c r="AX42" t="s">
        <v>74</v>
      </c>
      <c r="AY42" t="s">
        <v>74</v>
      </c>
      <c r="AZ42" t="s">
        <v>74</v>
      </c>
      <c r="BA42" t="s">
        <v>74</v>
      </c>
      <c r="BB42">
        <v>12327</v>
      </c>
      <c r="BC42">
        <v>12333</v>
      </c>
      <c r="BD42" t="s">
        <v>74</v>
      </c>
      <c r="BE42" t="s">
        <v>6638</v>
      </c>
      <c r="BF42" t="str">
        <f>HYPERLINK("http://dx.doi.org/10.1021/acs.analchem.7b03335","http://dx.doi.org/10.1021/acs.analchem.7b03335")</f>
        <v>http://dx.doi.org/10.1021/acs.analchem.7b03335</v>
      </c>
      <c r="BG42" t="s">
        <v>74</v>
      </c>
      <c r="BH42" t="s">
        <v>74</v>
      </c>
      <c r="BI42" t="s">
        <v>74</v>
      </c>
      <c r="BJ42" t="s">
        <v>1196</v>
      </c>
      <c r="BK42" t="s">
        <v>112</v>
      </c>
      <c r="BL42" t="s">
        <v>1197</v>
      </c>
      <c r="BM42" t="s">
        <v>74</v>
      </c>
      <c r="BN42">
        <v>29069893</v>
      </c>
      <c r="BO42" t="s">
        <v>74</v>
      </c>
      <c r="BP42" t="s">
        <v>74</v>
      </c>
      <c r="BQ42" t="s">
        <v>74</v>
      </c>
      <c r="BR42" t="s">
        <v>93</v>
      </c>
      <c r="BS42" t="s">
        <v>6639</v>
      </c>
      <c r="BT42" t="str">
        <f>HYPERLINK("https%3A%2F%2Fwww.webofscience.com%2Fwos%2Fwoscc%2Ffull-record%2FWOS:000416498100061","View Full Record in Web of Science")</f>
        <v>View Full Record in Web of Science</v>
      </c>
    </row>
    <row r="43" spans="1:72" x14ac:dyDescent="0.15">
      <c r="A43" t="s">
        <v>72</v>
      </c>
      <c r="B43" t="s">
        <v>7859</v>
      </c>
      <c r="C43" t="s">
        <v>74</v>
      </c>
      <c r="D43" t="s">
        <v>74</v>
      </c>
      <c r="E43" t="s">
        <v>74</v>
      </c>
      <c r="F43" t="s">
        <v>7860</v>
      </c>
      <c r="G43" t="s">
        <v>74</v>
      </c>
      <c r="H43" t="s">
        <v>74</v>
      </c>
      <c r="I43" t="s">
        <v>7861</v>
      </c>
      <c r="J43" t="s">
        <v>177</v>
      </c>
      <c r="K43" t="s">
        <v>74</v>
      </c>
      <c r="L43" t="s">
        <v>74</v>
      </c>
      <c r="M43" t="s">
        <v>74</v>
      </c>
      <c r="N43" t="s">
        <v>78</v>
      </c>
      <c r="O43" t="s">
        <v>74</v>
      </c>
      <c r="P43" t="s">
        <v>74</v>
      </c>
      <c r="Q43" t="s">
        <v>74</v>
      </c>
      <c r="R43" t="s">
        <v>74</v>
      </c>
      <c r="S43" t="s">
        <v>74</v>
      </c>
      <c r="T43" t="s">
        <v>7862</v>
      </c>
      <c r="U43" t="s">
        <v>7863</v>
      </c>
      <c r="V43" t="s">
        <v>7864</v>
      </c>
      <c r="W43" t="s">
        <v>7865</v>
      </c>
      <c r="X43" t="s">
        <v>7866</v>
      </c>
      <c r="Y43" t="s">
        <v>7867</v>
      </c>
      <c r="Z43" t="s">
        <v>7868</v>
      </c>
      <c r="AA43" t="s">
        <v>7869</v>
      </c>
      <c r="AB43" t="s">
        <v>7870</v>
      </c>
      <c r="AC43" t="s">
        <v>74</v>
      </c>
      <c r="AD43" t="s">
        <v>74</v>
      </c>
      <c r="AE43" t="s">
        <v>74</v>
      </c>
      <c r="AF43" t="s">
        <v>74</v>
      </c>
      <c r="AG43">
        <v>19</v>
      </c>
      <c r="AH43">
        <v>153</v>
      </c>
      <c r="AI43">
        <v>160</v>
      </c>
      <c r="AJ43">
        <v>1</v>
      </c>
      <c r="AK43">
        <v>21</v>
      </c>
      <c r="AL43" t="s">
        <v>74</v>
      </c>
      <c r="AM43" t="s">
        <v>74</v>
      </c>
      <c r="AN43" t="s">
        <v>74</v>
      </c>
      <c r="AO43" t="s">
        <v>74</v>
      </c>
      <c r="AP43" t="s">
        <v>185</v>
      </c>
      <c r="AQ43" t="s">
        <v>74</v>
      </c>
      <c r="AR43" t="s">
        <v>74</v>
      </c>
      <c r="AS43" t="s">
        <v>74</v>
      </c>
      <c r="AT43" t="s">
        <v>7871</v>
      </c>
      <c r="AU43">
        <v>2018</v>
      </c>
      <c r="AV43">
        <v>17</v>
      </c>
      <c r="AW43" t="s">
        <v>74</v>
      </c>
      <c r="AX43" t="s">
        <v>74</v>
      </c>
      <c r="AY43" t="s">
        <v>74</v>
      </c>
      <c r="AZ43" t="s">
        <v>74</v>
      </c>
      <c r="BA43" t="s">
        <v>74</v>
      </c>
      <c r="BB43" t="s">
        <v>74</v>
      </c>
      <c r="BC43" t="s">
        <v>74</v>
      </c>
      <c r="BD43">
        <v>74</v>
      </c>
      <c r="BE43" t="s">
        <v>7872</v>
      </c>
      <c r="BF43" t="str">
        <f>HYPERLINK("http://dx.doi.org/10.1186/s12943-018-0822-0","http://dx.doi.org/10.1186/s12943-018-0822-0")</f>
        <v>http://dx.doi.org/10.1186/s12943-018-0822-0</v>
      </c>
      <c r="BG43" t="s">
        <v>74</v>
      </c>
      <c r="BH43" t="s">
        <v>74</v>
      </c>
      <c r="BI43" t="s">
        <v>74</v>
      </c>
      <c r="BJ43" t="s">
        <v>188</v>
      </c>
      <c r="BK43" t="s">
        <v>112</v>
      </c>
      <c r="BL43" t="s">
        <v>188</v>
      </c>
      <c r="BM43" t="s">
        <v>74</v>
      </c>
      <c r="BN43">
        <v>29558959</v>
      </c>
      <c r="BO43" t="s">
        <v>74</v>
      </c>
      <c r="BP43" t="s">
        <v>74</v>
      </c>
      <c r="BQ43" t="s">
        <v>74</v>
      </c>
      <c r="BR43" t="s">
        <v>93</v>
      </c>
      <c r="BS43" t="s">
        <v>7873</v>
      </c>
      <c r="BT43" t="str">
        <f>HYPERLINK("https%3A%2F%2Fwww.webofscience.com%2Fwos%2Fwoscc%2Ffull-record%2FWOS:000427850200001","View Full Record in Web of Science")</f>
        <v>View Full Record in Web of Science</v>
      </c>
    </row>
    <row r="44" spans="1:72" x14ac:dyDescent="0.15">
      <c r="A44" t="s">
        <v>72</v>
      </c>
      <c r="B44" t="s">
        <v>1901</v>
      </c>
      <c r="C44" t="s">
        <v>74</v>
      </c>
      <c r="D44" t="s">
        <v>74</v>
      </c>
      <c r="E44" t="s">
        <v>74</v>
      </c>
      <c r="F44" t="s">
        <v>1902</v>
      </c>
      <c r="G44" t="s">
        <v>74</v>
      </c>
      <c r="H44" t="s">
        <v>74</v>
      </c>
      <c r="I44" t="s">
        <v>1903</v>
      </c>
      <c r="J44" t="s">
        <v>1904</v>
      </c>
      <c r="K44" t="s">
        <v>74</v>
      </c>
      <c r="L44" t="s">
        <v>74</v>
      </c>
      <c r="M44" t="s">
        <v>74</v>
      </c>
      <c r="N44" t="s">
        <v>78</v>
      </c>
      <c r="O44" t="s">
        <v>74</v>
      </c>
      <c r="P44" t="s">
        <v>74</v>
      </c>
      <c r="Q44" t="s">
        <v>74</v>
      </c>
      <c r="R44" t="s">
        <v>74</v>
      </c>
      <c r="S44" t="s">
        <v>74</v>
      </c>
      <c r="T44" t="s">
        <v>1905</v>
      </c>
      <c r="U44" t="s">
        <v>1906</v>
      </c>
      <c r="V44" t="s">
        <v>1907</v>
      </c>
      <c r="W44" t="s">
        <v>1908</v>
      </c>
      <c r="X44" t="s">
        <v>1909</v>
      </c>
      <c r="Y44" t="s">
        <v>1910</v>
      </c>
      <c r="Z44" t="s">
        <v>1911</v>
      </c>
      <c r="AA44" t="s">
        <v>1912</v>
      </c>
      <c r="AB44" t="s">
        <v>74</v>
      </c>
      <c r="AC44" t="s">
        <v>74</v>
      </c>
      <c r="AD44" t="s">
        <v>74</v>
      </c>
      <c r="AE44" t="s">
        <v>74</v>
      </c>
      <c r="AF44" t="s">
        <v>74</v>
      </c>
      <c r="AG44">
        <v>35</v>
      </c>
      <c r="AH44">
        <v>151</v>
      </c>
      <c r="AI44">
        <v>157</v>
      </c>
      <c r="AJ44">
        <v>1</v>
      </c>
      <c r="AK44">
        <v>21</v>
      </c>
      <c r="AL44" t="s">
        <v>74</v>
      </c>
      <c r="AM44" t="s">
        <v>74</v>
      </c>
      <c r="AN44" t="s">
        <v>74</v>
      </c>
      <c r="AO44" t="s">
        <v>1913</v>
      </c>
      <c r="AP44" t="s">
        <v>74</v>
      </c>
      <c r="AQ44" t="s">
        <v>74</v>
      </c>
      <c r="AR44" t="s">
        <v>74</v>
      </c>
      <c r="AS44" t="s">
        <v>74</v>
      </c>
      <c r="AT44" t="s">
        <v>818</v>
      </c>
      <c r="AU44">
        <v>2013</v>
      </c>
      <c r="AV44">
        <v>5</v>
      </c>
      <c r="AW44">
        <v>4</v>
      </c>
      <c r="AX44" t="s">
        <v>74</v>
      </c>
      <c r="AY44" t="s">
        <v>74</v>
      </c>
      <c r="AZ44" t="s">
        <v>74</v>
      </c>
      <c r="BA44" t="s">
        <v>74</v>
      </c>
      <c r="BB44">
        <v>227</v>
      </c>
      <c r="BC44">
        <v>238</v>
      </c>
      <c r="BD44" t="s">
        <v>74</v>
      </c>
      <c r="BE44" t="s">
        <v>1914</v>
      </c>
      <c r="BF44" t="str">
        <f>HYPERLINK("http://dx.doi.org/10.1093/jmcb/mjt011","http://dx.doi.org/10.1093/jmcb/mjt011")</f>
        <v>http://dx.doi.org/10.1093/jmcb/mjt011</v>
      </c>
      <c r="BG44" t="s">
        <v>74</v>
      </c>
      <c r="BH44" t="s">
        <v>74</v>
      </c>
      <c r="BI44" t="s">
        <v>74</v>
      </c>
      <c r="BJ44" t="s">
        <v>419</v>
      </c>
      <c r="BK44" t="s">
        <v>112</v>
      </c>
      <c r="BL44" t="s">
        <v>419</v>
      </c>
      <c r="BM44" t="s">
        <v>74</v>
      </c>
      <c r="BN44">
        <v>23580760</v>
      </c>
      <c r="BO44" t="s">
        <v>74</v>
      </c>
      <c r="BP44" t="s">
        <v>74</v>
      </c>
      <c r="BQ44" t="s">
        <v>74</v>
      </c>
      <c r="BR44" t="s">
        <v>93</v>
      </c>
      <c r="BS44" t="s">
        <v>1915</v>
      </c>
      <c r="BT44" t="str">
        <f>HYPERLINK("https%3A%2F%2Fwww.webofscience.com%2Fwos%2Fwoscc%2Ffull-record%2FWOS:000322914000003","View Full Record in Web of Science")</f>
        <v>View Full Record in Web of Science</v>
      </c>
    </row>
    <row r="45" spans="1:72" x14ac:dyDescent="0.15">
      <c r="A45" t="s">
        <v>72</v>
      </c>
      <c r="B45" t="s">
        <v>3766</v>
      </c>
      <c r="C45" t="s">
        <v>74</v>
      </c>
      <c r="D45" t="s">
        <v>74</v>
      </c>
      <c r="E45" t="s">
        <v>74</v>
      </c>
      <c r="F45" t="s">
        <v>3767</v>
      </c>
      <c r="G45" t="s">
        <v>74</v>
      </c>
      <c r="H45" t="s">
        <v>74</v>
      </c>
      <c r="I45" t="s">
        <v>3768</v>
      </c>
      <c r="J45" t="s">
        <v>2850</v>
      </c>
      <c r="K45" t="s">
        <v>74</v>
      </c>
      <c r="L45" t="s">
        <v>74</v>
      </c>
      <c r="M45" t="s">
        <v>74</v>
      </c>
      <c r="N45" t="s">
        <v>78</v>
      </c>
      <c r="O45" t="s">
        <v>74</v>
      </c>
      <c r="P45" t="s">
        <v>74</v>
      </c>
      <c r="Q45" t="s">
        <v>74</v>
      </c>
      <c r="R45" t="s">
        <v>74</v>
      </c>
      <c r="S45" t="s">
        <v>74</v>
      </c>
      <c r="T45" t="s">
        <v>74</v>
      </c>
      <c r="U45" t="s">
        <v>3769</v>
      </c>
      <c r="V45" t="s">
        <v>3770</v>
      </c>
      <c r="W45" t="s">
        <v>3771</v>
      </c>
      <c r="X45" t="s">
        <v>3772</v>
      </c>
      <c r="Y45" t="s">
        <v>3773</v>
      </c>
      <c r="Z45" t="s">
        <v>3774</v>
      </c>
      <c r="AA45" t="s">
        <v>3775</v>
      </c>
      <c r="AB45" t="s">
        <v>3776</v>
      </c>
      <c r="AC45" t="s">
        <v>74</v>
      </c>
      <c r="AD45" t="s">
        <v>74</v>
      </c>
      <c r="AE45" t="s">
        <v>74</v>
      </c>
      <c r="AF45" t="s">
        <v>74</v>
      </c>
      <c r="AG45">
        <v>61</v>
      </c>
      <c r="AH45">
        <v>151</v>
      </c>
      <c r="AI45">
        <v>153</v>
      </c>
      <c r="AJ45">
        <v>13</v>
      </c>
      <c r="AK45">
        <v>148</v>
      </c>
      <c r="AL45" t="s">
        <v>74</v>
      </c>
      <c r="AM45" t="s">
        <v>74</v>
      </c>
      <c r="AN45" t="s">
        <v>74</v>
      </c>
      <c r="AO45" t="s">
        <v>2859</v>
      </c>
      <c r="AP45" t="s">
        <v>74</v>
      </c>
      <c r="AQ45" t="s">
        <v>74</v>
      </c>
      <c r="AR45" t="s">
        <v>74</v>
      </c>
      <c r="AS45" t="s">
        <v>74</v>
      </c>
      <c r="AT45" t="s">
        <v>1679</v>
      </c>
      <c r="AU45">
        <v>2018</v>
      </c>
      <c r="AV45">
        <v>9</v>
      </c>
      <c r="AW45" t="s">
        <v>74</v>
      </c>
      <c r="AX45" t="s">
        <v>74</v>
      </c>
      <c r="AY45" t="s">
        <v>74</v>
      </c>
      <c r="AZ45" t="s">
        <v>74</v>
      </c>
      <c r="BA45" t="s">
        <v>74</v>
      </c>
      <c r="BB45" t="s">
        <v>74</v>
      </c>
      <c r="BC45" t="s">
        <v>74</v>
      </c>
      <c r="BD45">
        <v>175</v>
      </c>
      <c r="BE45" t="s">
        <v>3777</v>
      </c>
      <c r="BF45" t="str">
        <f>HYPERLINK("http://dx.doi.org/10.1038/s41467-017-02261-1","http://dx.doi.org/10.1038/s41467-017-02261-1")</f>
        <v>http://dx.doi.org/10.1038/s41467-017-02261-1</v>
      </c>
      <c r="BG45" t="s">
        <v>74</v>
      </c>
      <c r="BH45" t="s">
        <v>74</v>
      </c>
      <c r="BI45" t="s">
        <v>74</v>
      </c>
      <c r="BJ45" t="s">
        <v>545</v>
      </c>
      <c r="BK45" t="s">
        <v>112</v>
      </c>
      <c r="BL45" t="s">
        <v>546</v>
      </c>
      <c r="BM45" t="s">
        <v>74</v>
      </c>
      <c r="BN45">
        <v>29330365</v>
      </c>
      <c r="BO45" t="s">
        <v>74</v>
      </c>
      <c r="BP45" t="s">
        <v>74</v>
      </c>
      <c r="BQ45" t="s">
        <v>74</v>
      </c>
      <c r="BR45" t="s">
        <v>93</v>
      </c>
      <c r="BS45" t="s">
        <v>3778</v>
      </c>
      <c r="BT45" t="str">
        <f>HYPERLINK("https%3A%2F%2Fwww.webofscience.com%2Fwos%2Fwoscc%2Ffull-record%2FWOS:000419949200002","View Full Record in Web of Science")</f>
        <v>View Full Record in Web of Science</v>
      </c>
    </row>
    <row r="46" spans="1:72" x14ac:dyDescent="0.15">
      <c r="A46" t="s">
        <v>72</v>
      </c>
      <c r="B46" t="s">
        <v>6280</v>
      </c>
      <c r="C46" t="s">
        <v>74</v>
      </c>
      <c r="D46" t="s">
        <v>74</v>
      </c>
      <c r="E46" t="s">
        <v>74</v>
      </c>
      <c r="F46" t="s">
        <v>6281</v>
      </c>
      <c r="G46" t="s">
        <v>74</v>
      </c>
      <c r="H46" t="s">
        <v>74</v>
      </c>
      <c r="I46" t="s">
        <v>6282</v>
      </c>
      <c r="J46" t="s">
        <v>686</v>
      </c>
      <c r="K46" t="s">
        <v>74</v>
      </c>
      <c r="L46" t="s">
        <v>74</v>
      </c>
      <c r="M46" t="s">
        <v>74</v>
      </c>
      <c r="N46" t="s">
        <v>78</v>
      </c>
      <c r="O46" t="s">
        <v>74</v>
      </c>
      <c r="P46" t="s">
        <v>74</v>
      </c>
      <c r="Q46" t="s">
        <v>74</v>
      </c>
      <c r="R46" t="s">
        <v>74</v>
      </c>
      <c r="S46" t="s">
        <v>74</v>
      </c>
      <c r="T46" t="s">
        <v>6283</v>
      </c>
      <c r="U46" t="s">
        <v>6284</v>
      </c>
      <c r="V46" t="s">
        <v>6285</v>
      </c>
      <c r="W46" t="s">
        <v>6286</v>
      </c>
      <c r="X46" t="s">
        <v>6287</v>
      </c>
      <c r="Y46" t="s">
        <v>6288</v>
      </c>
      <c r="Z46" t="s">
        <v>6289</v>
      </c>
      <c r="AA46" t="s">
        <v>5569</v>
      </c>
      <c r="AB46" t="s">
        <v>4241</v>
      </c>
      <c r="AC46" t="s">
        <v>74</v>
      </c>
      <c r="AD46" t="s">
        <v>74</v>
      </c>
      <c r="AE46" t="s">
        <v>74</v>
      </c>
      <c r="AF46" t="s">
        <v>74</v>
      </c>
      <c r="AG46">
        <v>41</v>
      </c>
      <c r="AH46">
        <v>148</v>
      </c>
      <c r="AI46">
        <v>152</v>
      </c>
      <c r="AJ46">
        <v>20</v>
      </c>
      <c r="AK46">
        <v>194</v>
      </c>
      <c r="AL46" t="s">
        <v>74</v>
      </c>
      <c r="AM46" t="s">
        <v>74</v>
      </c>
      <c r="AN46" t="s">
        <v>74</v>
      </c>
      <c r="AO46" t="s">
        <v>696</v>
      </c>
      <c r="AP46" t="s">
        <v>697</v>
      </c>
      <c r="AQ46" t="s">
        <v>74</v>
      </c>
      <c r="AR46" t="s">
        <v>74</v>
      </c>
      <c r="AS46" t="s">
        <v>74</v>
      </c>
      <c r="AT46" t="s">
        <v>129</v>
      </c>
      <c r="AU46">
        <v>2018</v>
      </c>
      <c r="AV46">
        <v>12</v>
      </c>
      <c r="AW46">
        <v>4</v>
      </c>
      <c r="AX46" t="s">
        <v>74</v>
      </c>
      <c r="AY46" t="s">
        <v>74</v>
      </c>
      <c r="AZ46" t="s">
        <v>74</v>
      </c>
      <c r="BA46" t="s">
        <v>74</v>
      </c>
      <c r="BB46">
        <v>3311</v>
      </c>
      <c r="BC46">
        <v>3320</v>
      </c>
      <c r="BD46" t="s">
        <v>74</v>
      </c>
      <c r="BE46" t="s">
        <v>6290</v>
      </c>
      <c r="BF46" t="str">
        <f>HYPERLINK("http://dx.doi.org/10.1021/acsnano.7b08199","http://dx.doi.org/10.1021/acsnano.7b08199")</f>
        <v>http://dx.doi.org/10.1021/acsnano.7b08199</v>
      </c>
      <c r="BG46" t="s">
        <v>74</v>
      </c>
      <c r="BH46" t="s">
        <v>74</v>
      </c>
      <c r="BI46" t="s">
        <v>74</v>
      </c>
      <c r="BJ46" t="s">
        <v>699</v>
      </c>
      <c r="BK46" t="s">
        <v>112</v>
      </c>
      <c r="BL46" t="s">
        <v>700</v>
      </c>
      <c r="BM46" t="s">
        <v>74</v>
      </c>
      <c r="BN46">
        <v>29570265</v>
      </c>
      <c r="BO46" t="s">
        <v>74</v>
      </c>
      <c r="BP46" t="s">
        <v>74</v>
      </c>
      <c r="BQ46" t="s">
        <v>74</v>
      </c>
      <c r="BR46" t="s">
        <v>93</v>
      </c>
      <c r="BS46" t="s">
        <v>6291</v>
      </c>
      <c r="BT46" t="str">
        <f>HYPERLINK("https%3A%2F%2Fwww.webofscience.com%2Fwos%2Fwoscc%2Ffull-record%2FWOS:000431088200027","View Full Record in Web of Science")</f>
        <v>View Full Record in Web of Science</v>
      </c>
    </row>
    <row r="47" spans="1:72" x14ac:dyDescent="0.15">
      <c r="A47" t="s">
        <v>72</v>
      </c>
      <c r="B47" t="s">
        <v>1652</v>
      </c>
      <c r="C47" t="s">
        <v>74</v>
      </c>
      <c r="D47" t="s">
        <v>74</v>
      </c>
      <c r="E47" t="s">
        <v>74</v>
      </c>
      <c r="F47" t="s">
        <v>1653</v>
      </c>
      <c r="G47" t="s">
        <v>74</v>
      </c>
      <c r="H47" t="s">
        <v>74</v>
      </c>
      <c r="I47" t="s">
        <v>1654</v>
      </c>
      <c r="J47" t="s">
        <v>568</v>
      </c>
      <c r="K47" t="s">
        <v>74</v>
      </c>
      <c r="L47" t="s">
        <v>74</v>
      </c>
      <c r="M47" t="s">
        <v>74</v>
      </c>
      <c r="N47" t="s">
        <v>78</v>
      </c>
      <c r="O47" t="s">
        <v>74</v>
      </c>
      <c r="P47" t="s">
        <v>74</v>
      </c>
      <c r="Q47" t="s">
        <v>74</v>
      </c>
      <c r="R47" t="s">
        <v>74</v>
      </c>
      <c r="S47" t="s">
        <v>74</v>
      </c>
      <c r="T47" t="s">
        <v>74</v>
      </c>
      <c r="U47" t="s">
        <v>1655</v>
      </c>
      <c r="V47" t="s">
        <v>1656</v>
      </c>
      <c r="W47" t="s">
        <v>1657</v>
      </c>
      <c r="X47" t="s">
        <v>1658</v>
      </c>
      <c r="Y47" t="s">
        <v>1659</v>
      </c>
      <c r="Z47" t="s">
        <v>1660</v>
      </c>
      <c r="AA47" t="s">
        <v>74</v>
      </c>
      <c r="AB47" t="s">
        <v>74</v>
      </c>
      <c r="AC47" t="s">
        <v>74</v>
      </c>
      <c r="AD47" t="s">
        <v>74</v>
      </c>
      <c r="AE47" t="s">
        <v>74</v>
      </c>
      <c r="AF47" t="s">
        <v>74</v>
      </c>
      <c r="AG47">
        <v>21</v>
      </c>
      <c r="AH47">
        <v>141</v>
      </c>
      <c r="AI47">
        <v>145</v>
      </c>
      <c r="AJ47">
        <v>1</v>
      </c>
      <c r="AK47">
        <v>23</v>
      </c>
      <c r="AL47" t="s">
        <v>74</v>
      </c>
      <c r="AM47" t="s">
        <v>74</v>
      </c>
      <c r="AN47" t="s">
        <v>74</v>
      </c>
      <c r="AO47" t="s">
        <v>577</v>
      </c>
      <c r="AP47" t="s">
        <v>74</v>
      </c>
      <c r="AQ47" t="s">
        <v>74</v>
      </c>
      <c r="AR47" t="s">
        <v>74</v>
      </c>
      <c r="AS47" t="s">
        <v>74</v>
      </c>
      <c r="AT47" t="s">
        <v>1661</v>
      </c>
      <c r="AU47">
        <v>2017</v>
      </c>
      <c r="AV47">
        <v>12</v>
      </c>
      <c r="AW47">
        <v>8</v>
      </c>
      <c r="AX47" t="s">
        <v>74</v>
      </c>
      <c r="AY47" t="s">
        <v>74</v>
      </c>
      <c r="AZ47" t="s">
        <v>74</v>
      </c>
      <c r="BA47" t="s">
        <v>74</v>
      </c>
      <c r="BB47" t="s">
        <v>74</v>
      </c>
      <c r="BC47" t="s">
        <v>74</v>
      </c>
      <c r="BD47" t="s">
        <v>1662</v>
      </c>
      <c r="BE47" t="s">
        <v>1663</v>
      </c>
      <c r="BF47" t="str">
        <f>HYPERLINK("http://dx.doi.org/10.1371/journal.pone.0183915","http://dx.doi.org/10.1371/journal.pone.0183915")</f>
        <v>http://dx.doi.org/10.1371/journal.pone.0183915</v>
      </c>
      <c r="BG47" t="s">
        <v>74</v>
      </c>
      <c r="BH47" t="s">
        <v>74</v>
      </c>
      <c r="BI47" t="s">
        <v>74</v>
      </c>
      <c r="BJ47" t="s">
        <v>545</v>
      </c>
      <c r="BK47" t="s">
        <v>112</v>
      </c>
      <c r="BL47" t="s">
        <v>546</v>
      </c>
      <c r="BM47" t="s">
        <v>74</v>
      </c>
      <c r="BN47">
        <v>28850588</v>
      </c>
      <c r="BO47" t="s">
        <v>74</v>
      </c>
      <c r="BP47" t="s">
        <v>74</v>
      </c>
      <c r="BQ47" t="s">
        <v>74</v>
      </c>
      <c r="BR47" t="s">
        <v>93</v>
      </c>
      <c r="BS47" t="s">
        <v>1664</v>
      </c>
      <c r="BT47" t="str">
        <f>HYPERLINK("https%3A%2F%2Fwww.webofscience.com%2Fwos%2Fwoscc%2Ffull-record%2FWOS:000408544200041","View Full Record in Web of Science")</f>
        <v>View Full Record in Web of Science</v>
      </c>
    </row>
    <row r="48" spans="1:72" x14ac:dyDescent="0.15">
      <c r="A48" t="s">
        <v>72</v>
      </c>
      <c r="B48" t="s">
        <v>4474</v>
      </c>
      <c r="C48" t="s">
        <v>74</v>
      </c>
      <c r="D48" t="s">
        <v>74</v>
      </c>
      <c r="E48" t="s">
        <v>74</v>
      </c>
      <c r="F48" t="s">
        <v>4475</v>
      </c>
      <c r="G48" t="s">
        <v>74</v>
      </c>
      <c r="H48" t="s">
        <v>74</v>
      </c>
      <c r="I48" t="s">
        <v>4476</v>
      </c>
      <c r="J48" t="s">
        <v>4477</v>
      </c>
      <c r="K48" t="s">
        <v>74</v>
      </c>
      <c r="L48" t="s">
        <v>74</v>
      </c>
      <c r="M48" t="s">
        <v>74</v>
      </c>
      <c r="N48" t="s">
        <v>78</v>
      </c>
      <c r="O48" t="s">
        <v>74</v>
      </c>
      <c r="P48" t="s">
        <v>74</v>
      </c>
      <c r="Q48" t="s">
        <v>74</v>
      </c>
      <c r="R48" t="s">
        <v>74</v>
      </c>
      <c r="S48" t="s">
        <v>74</v>
      </c>
      <c r="T48" t="s">
        <v>4478</v>
      </c>
      <c r="U48" t="s">
        <v>4479</v>
      </c>
      <c r="V48" t="s">
        <v>4480</v>
      </c>
      <c r="W48" t="s">
        <v>4481</v>
      </c>
      <c r="X48" t="s">
        <v>4482</v>
      </c>
      <c r="Y48" t="s">
        <v>4483</v>
      </c>
      <c r="Z48" t="s">
        <v>1566</v>
      </c>
      <c r="AA48" t="s">
        <v>4484</v>
      </c>
      <c r="AB48" t="s">
        <v>4485</v>
      </c>
      <c r="AC48" t="s">
        <v>74</v>
      </c>
      <c r="AD48" t="s">
        <v>74</v>
      </c>
      <c r="AE48" t="s">
        <v>74</v>
      </c>
      <c r="AF48" t="s">
        <v>74</v>
      </c>
      <c r="AG48">
        <v>40</v>
      </c>
      <c r="AH48">
        <v>135</v>
      </c>
      <c r="AI48">
        <v>138</v>
      </c>
      <c r="AJ48">
        <v>1</v>
      </c>
      <c r="AK48">
        <v>37</v>
      </c>
      <c r="AL48" t="s">
        <v>74</v>
      </c>
      <c r="AM48" t="s">
        <v>74</v>
      </c>
      <c r="AN48" t="s">
        <v>74</v>
      </c>
      <c r="AO48" t="s">
        <v>4486</v>
      </c>
      <c r="AP48" t="s">
        <v>4487</v>
      </c>
      <c r="AQ48" t="s">
        <v>74</v>
      </c>
      <c r="AR48" t="s">
        <v>74</v>
      </c>
      <c r="AS48" t="s">
        <v>74</v>
      </c>
      <c r="AT48" t="s">
        <v>74</v>
      </c>
      <c r="AU48">
        <v>2017</v>
      </c>
      <c r="AV48">
        <v>18</v>
      </c>
      <c r="AW48">
        <v>3</v>
      </c>
      <c r="AX48" t="s">
        <v>74</v>
      </c>
      <c r="AY48" t="s">
        <v>74</v>
      </c>
      <c r="AZ48" t="s">
        <v>74</v>
      </c>
      <c r="BA48" t="s">
        <v>74</v>
      </c>
      <c r="BB48">
        <v>158</v>
      </c>
      <c r="BC48">
        <v>165</v>
      </c>
      <c r="BD48" t="s">
        <v>74</v>
      </c>
      <c r="BE48" t="s">
        <v>4488</v>
      </c>
      <c r="BF48" t="str">
        <f>HYPERLINK("http://dx.doi.org/10.1080/15384047.2017.1281499","http://dx.doi.org/10.1080/15384047.2017.1281499")</f>
        <v>http://dx.doi.org/10.1080/15384047.2017.1281499</v>
      </c>
      <c r="BG48" t="s">
        <v>74</v>
      </c>
      <c r="BH48" t="s">
        <v>74</v>
      </c>
      <c r="BI48" t="s">
        <v>74</v>
      </c>
      <c r="BJ48" t="s">
        <v>146</v>
      </c>
      <c r="BK48" t="s">
        <v>112</v>
      </c>
      <c r="BL48" t="s">
        <v>146</v>
      </c>
      <c r="BM48" t="s">
        <v>74</v>
      </c>
      <c r="BN48">
        <v>28121262</v>
      </c>
      <c r="BO48" t="s">
        <v>74</v>
      </c>
      <c r="BP48" t="s">
        <v>74</v>
      </c>
      <c r="BQ48" t="s">
        <v>74</v>
      </c>
      <c r="BR48" t="s">
        <v>93</v>
      </c>
      <c r="BS48" t="s">
        <v>4489</v>
      </c>
      <c r="BT48" t="str">
        <f>HYPERLINK("https%3A%2F%2Fwww.webofscience.com%2Fwos%2Fwoscc%2Ffull-record%2FWOS:000399501600006","View Full Record in Web of Science")</f>
        <v>View Full Record in Web of Science</v>
      </c>
    </row>
    <row r="49" spans="1:72" x14ac:dyDescent="0.15">
      <c r="A49" t="s">
        <v>72</v>
      </c>
      <c r="B49" t="s">
        <v>6951</v>
      </c>
      <c r="C49" t="s">
        <v>74</v>
      </c>
      <c r="D49" t="s">
        <v>74</v>
      </c>
      <c r="E49" t="s">
        <v>74</v>
      </c>
      <c r="F49" t="s">
        <v>6951</v>
      </c>
      <c r="G49" t="s">
        <v>74</v>
      </c>
      <c r="H49" t="s">
        <v>74</v>
      </c>
      <c r="I49" t="s">
        <v>6952</v>
      </c>
      <c r="J49" t="s">
        <v>6953</v>
      </c>
      <c r="K49" t="s">
        <v>74</v>
      </c>
      <c r="L49" t="s">
        <v>74</v>
      </c>
      <c r="M49" t="s">
        <v>74</v>
      </c>
      <c r="N49" t="s">
        <v>78</v>
      </c>
      <c r="O49" t="s">
        <v>74</v>
      </c>
      <c r="P49" t="s">
        <v>74</v>
      </c>
      <c r="Q49" t="s">
        <v>74</v>
      </c>
      <c r="R49" t="s">
        <v>74</v>
      </c>
      <c r="S49" t="s">
        <v>74</v>
      </c>
      <c r="T49" t="s">
        <v>6954</v>
      </c>
      <c r="U49" t="s">
        <v>6955</v>
      </c>
      <c r="V49" t="s">
        <v>6956</v>
      </c>
      <c r="W49" t="s">
        <v>6957</v>
      </c>
      <c r="X49" t="s">
        <v>6958</v>
      </c>
      <c r="Y49" t="s">
        <v>6959</v>
      </c>
      <c r="Z49" t="s">
        <v>6960</v>
      </c>
      <c r="AA49" t="s">
        <v>74</v>
      </c>
      <c r="AB49" t="s">
        <v>74</v>
      </c>
      <c r="AC49" t="s">
        <v>74</v>
      </c>
      <c r="AD49" t="s">
        <v>74</v>
      </c>
      <c r="AE49" t="s">
        <v>74</v>
      </c>
      <c r="AF49" t="s">
        <v>74</v>
      </c>
      <c r="AG49">
        <v>35</v>
      </c>
      <c r="AH49">
        <v>132</v>
      </c>
      <c r="AI49">
        <v>133</v>
      </c>
      <c r="AJ49">
        <v>0</v>
      </c>
      <c r="AK49">
        <v>7</v>
      </c>
      <c r="AL49" t="s">
        <v>74</v>
      </c>
      <c r="AM49" t="s">
        <v>74</v>
      </c>
      <c r="AN49" t="s">
        <v>74</v>
      </c>
      <c r="AO49" t="s">
        <v>6961</v>
      </c>
      <c r="AP49" t="s">
        <v>6962</v>
      </c>
      <c r="AQ49" t="s">
        <v>74</v>
      </c>
      <c r="AR49" t="s">
        <v>74</v>
      </c>
      <c r="AS49" t="s">
        <v>74</v>
      </c>
      <c r="AT49" t="s">
        <v>171</v>
      </c>
      <c r="AU49">
        <v>2005</v>
      </c>
      <c r="AV49">
        <v>73</v>
      </c>
      <c r="AW49">
        <v>6</v>
      </c>
      <c r="AX49" t="s">
        <v>74</v>
      </c>
      <c r="AY49" t="s">
        <v>74</v>
      </c>
      <c r="AZ49" t="s">
        <v>74</v>
      </c>
      <c r="BA49" t="s">
        <v>74</v>
      </c>
      <c r="BB49">
        <v>1174</v>
      </c>
      <c r="BC49">
        <v>1181</v>
      </c>
      <c r="BD49" t="s">
        <v>74</v>
      </c>
      <c r="BE49" t="s">
        <v>6963</v>
      </c>
      <c r="BF49" t="str">
        <f>HYPERLINK("http://dx.doi.org/10.1095/biolreprod.105.045666","http://dx.doi.org/10.1095/biolreprod.105.045666")</f>
        <v>http://dx.doi.org/10.1095/biolreprod.105.045666</v>
      </c>
      <c r="BG49" t="s">
        <v>74</v>
      </c>
      <c r="BH49" t="s">
        <v>74</v>
      </c>
      <c r="BI49" t="s">
        <v>74</v>
      </c>
      <c r="BJ49" t="s">
        <v>6964</v>
      </c>
      <c r="BK49" t="s">
        <v>112</v>
      </c>
      <c r="BL49" t="s">
        <v>6964</v>
      </c>
      <c r="BM49" t="s">
        <v>74</v>
      </c>
      <c r="BN49">
        <v>16107606</v>
      </c>
      <c r="BO49" t="s">
        <v>74</v>
      </c>
      <c r="BP49" t="s">
        <v>74</v>
      </c>
      <c r="BQ49" t="s">
        <v>74</v>
      </c>
      <c r="BR49" t="s">
        <v>93</v>
      </c>
      <c r="BS49" t="s">
        <v>6965</v>
      </c>
      <c r="BT49" t="str">
        <f>HYPERLINK("https%3A%2F%2Fwww.webofscience.com%2Fwos%2Fwoscc%2Ffull-record%2FWOS:000233580700012","View Full Record in Web of Science")</f>
        <v>View Full Record in Web of Science</v>
      </c>
    </row>
    <row r="50" spans="1:72" x14ac:dyDescent="0.15">
      <c r="A50" t="s">
        <v>72</v>
      </c>
      <c r="B50" t="s">
        <v>8873</v>
      </c>
      <c r="C50" t="s">
        <v>74</v>
      </c>
      <c r="D50" t="s">
        <v>74</v>
      </c>
      <c r="E50" t="s">
        <v>74</v>
      </c>
      <c r="F50" t="s">
        <v>8874</v>
      </c>
      <c r="G50" t="s">
        <v>74</v>
      </c>
      <c r="H50" t="s">
        <v>74</v>
      </c>
      <c r="I50" t="s">
        <v>8875</v>
      </c>
      <c r="J50" t="s">
        <v>1828</v>
      </c>
      <c r="K50" t="s">
        <v>74</v>
      </c>
      <c r="L50" t="s">
        <v>74</v>
      </c>
      <c r="M50" t="s">
        <v>74</v>
      </c>
      <c r="N50" t="s">
        <v>78</v>
      </c>
      <c r="O50" t="s">
        <v>74</v>
      </c>
      <c r="P50" t="s">
        <v>74</v>
      </c>
      <c r="Q50" t="s">
        <v>74</v>
      </c>
      <c r="R50" t="s">
        <v>74</v>
      </c>
      <c r="S50" t="s">
        <v>74</v>
      </c>
      <c r="T50" t="s">
        <v>74</v>
      </c>
      <c r="U50" t="s">
        <v>8876</v>
      </c>
      <c r="V50" t="s">
        <v>8877</v>
      </c>
      <c r="W50" t="s">
        <v>8878</v>
      </c>
      <c r="X50" t="s">
        <v>8879</v>
      </c>
      <c r="Y50" t="s">
        <v>8880</v>
      </c>
      <c r="Z50" t="s">
        <v>8881</v>
      </c>
      <c r="AA50" t="s">
        <v>74</v>
      </c>
      <c r="AB50" t="s">
        <v>8882</v>
      </c>
      <c r="AC50" t="s">
        <v>74</v>
      </c>
      <c r="AD50" t="s">
        <v>74</v>
      </c>
      <c r="AE50" t="s">
        <v>74</v>
      </c>
      <c r="AF50" t="s">
        <v>74</v>
      </c>
      <c r="AG50">
        <v>45</v>
      </c>
      <c r="AH50">
        <v>131</v>
      </c>
      <c r="AI50">
        <v>133</v>
      </c>
      <c r="AJ50">
        <v>3</v>
      </c>
      <c r="AK50">
        <v>15</v>
      </c>
      <c r="AL50" t="s">
        <v>74</v>
      </c>
      <c r="AM50" t="s">
        <v>74</v>
      </c>
      <c r="AN50" t="s">
        <v>74</v>
      </c>
      <c r="AO50" t="s">
        <v>1837</v>
      </c>
      <c r="AP50" t="s">
        <v>74</v>
      </c>
      <c r="AQ50" t="s">
        <v>74</v>
      </c>
      <c r="AR50" t="s">
        <v>74</v>
      </c>
      <c r="AS50" t="s">
        <v>74</v>
      </c>
      <c r="AT50" t="s">
        <v>8883</v>
      </c>
      <c r="AU50">
        <v>2017</v>
      </c>
      <c r="AV50">
        <v>7</v>
      </c>
      <c r="AW50" t="s">
        <v>74</v>
      </c>
      <c r="AX50" t="s">
        <v>74</v>
      </c>
      <c r="AY50" t="s">
        <v>74</v>
      </c>
      <c r="AZ50" t="s">
        <v>74</v>
      </c>
      <c r="BA50" t="s">
        <v>74</v>
      </c>
      <c r="BB50" t="s">
        <v>74</v>
      </c>
      <c r="BC50" t="s">
        <v>74</v>
      </c>
      <c r="BD50">
        <v>14293</v>
      </c>
      <c r="BE50" t="s">
        <v>8884</v>
      </c>
      <c r="BF50" t="str">
        <f>HYPERLINK("http://dx.doi.org/10.1038/s41598-017-14301-3","http://dx.doi.org/10.1038/s41598-017-14301-3")</f>
        <v>http://dx.doi.org/10.1038/s41598-017-14301-3</v>
      </c>
      <c r="BG50" t="s">
        <v>74</v>
      </c>
      <c r="BH50" t="s">
        <v>74</v>
      </c>
      <c r="BI50" t="s">
        <v>74</v>
      </c>
      <c r="BJ50" t="s">
        <v>545</v>
      </c>
      <c r="BK50" t="s">
        <v>112</v>
      </c>
      <c r="BL50" t="s">
        <v>546</v>
      </c>
      <c r="BM50" t="s">
        <v>74</v>
      </c>
      <c r="BN50">
        <v>29084979</v>
      </c>
      <c r="BO50" t="s">
        <v>74</v>
      </c>
      <c r="BP50" t="s">
        <v>74</v>
      </c>
      <c r="BQ50" t="s">
        <v>74</v>
      </c>
      <c r="BR50" t="s">
        <v>93</v>
      </c>
      <c r="BS50" t="s">
        <v>8885</v>
      </c>
      <c r="BT50" t="str">
        <f>HYPERLINK("https%3A%2F%2Fwww.webofscience.com%2Fwos%2Fwoscc%2Ffull-record%2FWOS:000414129700005","View Full Record in Web of Science")</f>
        <v>View Full Record in Web of Science</v>
      </c>
    </row>
    <row r="51" spans="1:72" x14ac:dyDescent="0.15">
      <c r="A51" t="s">
        <v>72</v>
      </c>
      <c r="B51" t="s">
        <v>9267</v>
      </c>
      <c r="C51" t="s">
        <v>74</v>
      </c>
      <c r="D51" t="s">
        <v>74</v>
      </c>
      <c r="E51" t="s">
        <v>74</v>
      </c>
      <c r="F51" t="s">
        <v>9268</v>
      </c>
      <c r="G51" t="s">
        <v>74</v>
      </c>
      <c r="H51" t="s">
        <v>74</v>
      </c>
      <c r="I51" t="s">
        <v>9269</v>
      </c>
      <c r="J51" t="s">
        <v>7877</v>
      </c>
      <c r="K51" t="s">
        <v>74</v>
      </c>
      <c r="L51" t="s">
        <v>74</v>
      </c>
      <c r="M51" t="s">
        <v>74</v>
      </c>
      <c r="N51" t="s">
        <v>78</v>
      </c>
      <c r="O51" t="s">
        <v>74</v>
      </c>
      <c r="P51" t="s">
        <v>74</v>
      </c>
      <c r="Q51" t="s">
        <v>74</v>
      </c>
      <c r="R51" t="s">
        <v>74</v>
      </c>
      <c r="S51" t="s">
        <v>74</v>
      </c>
      <c r="T51" t="s">
        <v>74</v>
      </c>
      <c r="U51" t="s">
        <v>9270</v>
      </c>
      <c r="V51" t="s">
        <v>9271</v>
      </c>
      <c r="W51" t="s">
        <v>9272</v>
      </c>
      <c r="X51" t="s">
        <v>9273</v>
      </c>
      <c r="Y51" t="s">
        <v>9274</v>
      </c>
      <c r="Z51" t="s">
        <v>9275</v>
      </c>
      <c r="AA51" t="s">
        <v>74</v>
      </c>
      <c r="AB51" t="s">
        <v>74</v>
      </c>
      <c r="AC51" t="s">
        <v>74</v>
      </c>
      <c r="AD51" t="s">
        <v>74</v>
      </c>
      <c r="AE51" t="s">
        <v>74</v>
      </c>
      <c r="AF51" t="s">
        <v>74</v>
      </c>
      <c r="AG51">
        <v>221</v>
      </c>
      <c r="AH51">
        <v>131</v>
      </c>
      <c r="AI51">
        <v>141</v>
      </c>
      <c r="AJ51">
        <v>4</v>
      </c>
      <c r="AK51">
        <v>62</v>
      </c>
      <c r="AL51" t="s">
        <v>74</v>
      </c>
      <c r="AM51" t="s">
        <v>74</v>
      </c>
      <c r="AN51" t="s">
        <v>74</v>
      </c>
      <c r="AO51" t="s">
        <v>7886</v>
      </c>
      <c r="AP51" t="s">
        <v>7887</v>
      </c>
      <c r="AQ51" t="s">
        <v>74</v>
      </c>
      <c r="AR51" t="s">
        <v>74</v>
      </c>
      <c r="AS51" t="s">
        <v>74</v>
      </c>
      <c r="AT51" t="s">
        <v>1111</v>
      </c>
      <c r="AU51">
        <v>2015</v>
      </c>
      <c r="AV51">
        <v>17</v>
      </c>
      <c r="AW51">
        <v>3</v>
      </c>
      <c r="AX51" t="s">
        <v>74</v>
      </c>
      <c r="AY51" t="s">
        <v>74</v>
      </c>
      <c r="AZ51" t="s">
        <v>74</v>
      </c>
      <c r="BA51" t="s">
        <v>74</v>
      </c>
      <c r="BB51">
        <v>209</v>
      </c>
      <c r="BC51">
        <v>224</v>
      </c>
      <c r="BD51" t="s">
        <v>74</v>
      </c>
      <c r="BE51" t="s">
        <v>9276</v>
      </c>
      <c r="BF51" t="str">
        <f>HYPERLINK("http://dx.doi.org/10.1016/j.jmoldx.2015.02.001","http://dx.doi.org/10.1016/j.jmoldx.2015.02.001")</f>
        <v>http://dx.doi.org/10.1016/j.jmoldx.2015.02.001</v>
      </c>
      <c r="BG51" t="s">
        <v>74</v>
      </c>
      <c r="BH51" t="s">
        <v>74</v>
      </c>
      <c r="BI51" t="s">
        <v>74</v>
      </c>
      <c r="BJ51" t="s">
        <v>7889</v>
      </c>
      <c r="BK51" t="s">
        <v>112</v>
      </c>
      <c r="BL51" t="s">
        <v>7889</v>
      </c>
      <c r="BM51" t="s">
        <v>74</v>
      </c>
      <c r="BN51">
        <v>25908243</v>
      </c>
      <c r="BO51" t="s">
        <v>74</v>
      </c>
      <c r="BP51" t="s">
        <v>74</v>
      </c>
      <c r="BQ51" t="s">
        <v>74</v>
      </c>
      <c r="BR51" t="s">
        <v>93</v>
      </c>
      <c r="BS51" t="s">
        <v>9277</v>
      </c>
      <c r="BT51" t="str">
        <f>HYPERLINK("https%3A%2F%2Fwww.webofscience.com%2Fwos%2Fwoscc%2Ffull-record%2FWOS:000353843900001","View Full Record in Web of Science")</f>
        <v>View Full Record in Web of Science</v>
      </c>
    </row>
    <row r="52" spans="1:72" x14ac:dyDescent="0.15">
      <c r="A52" t="s">
        <v>72</v>
      </c>
      <c r="B52" t="s">
        <v>4708</v>
      </c>
      <c r="C52" t="s">
        <v>74</v>
      </c>
      <c r="D52" t="s">
        <v>74</v>
      </c>
      <c r="E52" t="s">
        <v>74</v>
      </c>
      <c r="F52" t="s">
        <v>4709</v>
      </c>
      <c r="G52" t="s">
        <v>74</v>
      </c>
      <c r="H52" t="s">
        <v>74</v>
      </c>
      <c r="I52" t="s">
        <v>4710</v>
      </c>
      <c r="J52" t="s">
        <v>4711</v>
      </c>
      <c r="K52" t="s">
        <v>74</v>
      </c>
      <c r="L52" t="s">
        <v>74</v>
      </c>
      <c r="M52" t="s">
        <v>74</v>
      </c>
      <c r="N52" t="s">
        <v>78</v>
      </c>
      <c r="O52" t="s">
        <v>74</v>
      </c>
      <c r="P52" t="s">
        <v>74</v>
      </c>
      <c r="Q52" t="s">
        <v>74</v>
      </c>
      <c r="R52" t="s">
        <v>74</v>
      </c>
      <c r="S52" t="s">
        <v>74</v>
      </c>
      <c r="T52" t="s">
        <v>74</v>
      </c>
      <c r="U52" t="s">
        <v>4712</v>
      </c>
      <c r="V52" t="s">
        <v>4713</v>
      </c>
      <c r="W52" t="s">
        <v>4714</v>
      </c>
      <c r="X52" t="s">
        <v>4715</v>
      </c>
      <c r="Y52" t="s">
        <v>4716</v>
      </c>
      <c r="Z52" t="s">
        <v>4717</v>
      </c>
      <c r="AA52" t="s">
        <v>4718</v>
      </c>
      <c r="AB52" t="s">
        <v>4719</v>
      </c>
      <c r="AC52" t="s">
        <v>74</v>
      </c>
      <c r="AD52" t="s">
        <v>74</v>
      </c>
      <c r="AE52" t="s">
        <v>74</v>
      </c>
      <c r="AF52" t="s">
        <v>74</v>
      </c>
      <c r="AG52">
        <v>64</v>
      </c>
      <c r="AH52">
        <v>130</v>
      </c>
      <c r="AI52">
        <v>133</v>
      </c>
      <c r="AJ52">
        <v>36</v>
      </c>
      <c r="AK52">
        <v>227</v>
      </c>
      <c r="AL52" t="s">
        <v>74</v>
      </c>
      <c r="AM52" t="s">
        <v>74</v>
      </c>
      <c r="AN52" t="s">
        <v>74</v>
      </c>
      <c r="AO52" t="s">
        <v>4720</v>
      </c>
      <c r="AP52" t="s">
        <v>74</v>
      </c>
      <c r="AQ52" t="s">
        <v>74</v>
      </c>
      <c r="AR52" t="s">
        <v>74</v>
      </c>
      <c r="AS52" t="s">
        <v>74</v>
      </c>
      <c r="AT52" t="s">
        <v>129</v>
      </c>
      <c r="AU52">
        <v>2017</v>
      </c>
      <c r="AV52">
        <v>1</v>
      </c>
      <c r="AW52">
        <v>4</v>
      </c>
      <c r="AX52" t="s">
        <v>74</v>
      </c>
      <c r="AY52" t="s">
        <v>74</v>
      </c>
      <c r="AZ52" t="s">
        <v>74</v>
      </c>
      <c r="BA52" t="s">
        <v>74</v>
      </c>
      <c r="BB52" t="s">
        <v>74</v>
      </c>
      <c r="BC52" t="s">
        <v>74</v>
      </c>
      <c r="BD52">
        <v>58</v>
      </c>
      <c r="BE52" t="s">
        <v>4721</v>
      </c>
      <c r="BF52" t="str">
        <f>HYPERLINK("http://dx.doi.org/10.1038/s41551-017-0058","http://dx.doi.org/10.1038/s41551-017-0058")</f>
        <v>http://dx.doi.org/10.1038/s41551-017-0058</v>
      </c>
      <c r="BG52" t="s">
        <v>74</v>
      </c>
      <c r="BH52" t="s">
        <v>74</v>
      </c>
      <c r="BI52" t="s">
        <v>74</v>
      </c>
      <c r="BJ52" t="s">
        <v>4722</v>
      </c>
      <c r="BK52" t="s">
        <v>112</v>
      </c>
      <c r="BL52" t="s">
        <v>4723</v>
      </c>
      <c r="BM52" t="s">
        <v>74</v>
      </c>
      <c r="BN52">
        <v>28966872</v>
      </c>
      <c r="BO52" t="s">
        <v>74</v>
      </c>
      <c r="BP52" t="s">
        <v>74</v>
      </c>
      <c r="BQ52" t="s">
        <v>74</v>
      </c>
      <c r="BR52" t="s">
        <v>93</v>
      </c>
      <c r="BS52" t="s">
        <v>4724</v>
      </c>
      <c r="BT52" t="str">
        <f>HYPERLINK("https%3A%2F%2Fwww.webofscience.com%2Fwos%2Fwoscc%2Ffull-record%2FWOS:000418855100009","View Full Record in Web of Science")</f>
        <v>View Full Record in Web of Science</v>
      </c>
    </row>
    <row r="53" spans="1:72" x14ac:dyDescent="0.15">
      <c r="A53" t="s">
        <v>72</v>
      </c>
      <c r="B53" t="s">
        <v>8566</v>
      </c>
      <c r="C53" t="s">
        <v>74</v>
      </c>
      <c r="D53" t="s">
        <v>74</v>
      </c>
      <c r="E53" t="s">
        <v>74</v>
      </c>
      <c r="F53" t="s">
        <v>8567</v>
      </c>
      <c r="G53" t="s">
        <v>74</v>
      </c>
      <c r="H53" t="s">
        <v>74</v>
      </c>
      <c r="I53" t="s">
        <v>8568</v>
      </c>
      <c r="J53" t="s">
        <v>3303</v>
      </c>
      <c r="K53" t="s">
        <v>74</v>
      </c>
      <c r="L53" t="s">
        <v>74</v>
      </c>
      <c r="M53" t="s">
        <v>74</v>
      </c>
      <c r="N53" t="s">
        <v>78</v>
      </c>
      <c r="O53" t="s">
        <v>74</v>
      </c>
      <c r="P53" t="s">
        <v>74</v>
      </c>
      <c r="Q53" t="s">
        <v>74</v>
      </c>
      <c r="R53" t="s">
        <v>74</v>
      </c>
      <c r="S53" t="s">
        <v>74</v>
      </c>
      <c r="T53" t="s">
        <v>8569</v>
      </c>
      <c r="U53" t="s">
        <v>8570</v>
      </c>
      <c r="V53" t="s">
        <v>8571</v>
      </c>
      <c r="W53" t="s">
        <v>8572</v>
      </c>
      <c r="X53" t="s">
        <v>8573</v>
      </c>
      <c r="Y53" t="s">
        <v>8574</v>
      </c>
      <c r="Z53" t="s">
        <v>8575</v>
      </c>
      <c r="AA53" t="s">
        <v>8576</v>
      </c>
      <c r="AB53" t="s">
        <v>8577</v>
      </c>
      <c r="AC53" t="s">
        <v>74</v>
      </c>
      <c r="AD53" t="s">
        <v>74</v>
      </c>
      <c r="AE53" t="s">
        <v>74</v>
      </c>
      <c r="AF53" t="s">
        <v>74</v>
      </c>
      <c r="AG53">
        <v>41</v>
      </c>
      <c r="AH53">
        <v>126</v>
      </c>
      <c r="AI53">
        <v>140</v>
      </c>
      <c r="AJ53">
        <v>1</v>
      </c>
      <c r="AK53">
        <v>38</v>
      </c>
      <c r="AL53" t="s">
        <v>74</v>
      </c>
      <c r="AM53" t="s">
        <v>74</v>
      </c>
      <c r="AN53" t="s">
        <v>74</v>
      </c>
      <c r="AO53" t="s">
        <v>3311</v>
      </c>
      <c r="AP53" t="s">
        <v>3312</v>
      </c>
      <c r="AQ53" t="s">
        <v>74</v>
      </c>
      <c r="AR53" t="s">
        <v>74</v>
      </c>
      <c r="AS53" t="s">
        <v>74</v>
      </c>
      <c r="AT53" t="s">
        <v>920</v>
      </c>
      <c r="AU53">
        <v>2015</v>
      </c>
      <c r="AV53">
        <v>129</v>
      </c>
      <c r="AW53">
        <v>8</v>
      </c>
      <c r="AX53" t="s">
        <v>74</v>
      </c>
      <c r="AY53" t="s">
        <v>74</v>
      </c>
      <c r="AZ53" t="s">
        <v>74</v>
      </c>
      <c r="BA53" t="s">
        <v>74</v>
      </c>
      <c r="BB53">
        <v>675</v>
      </c>
      <c r="BC53">
        <v>685</v>
      </c>
      <c r="BD53" t="s">
        <v>74</v>
      </c>
      <c r="BE53" t="s">
        <v>8578</v>
      </c>
      <c r="BF53" t="str">
        <f>HYPERLINK("http://dx.doi.org/10.1042/CS20150121","http://dx.doi.org/10.1042/CS20150121")</f>
        <v>http://dx.doi.org/10.1042/CS20150121</v>
      </c>
      <c r="BG53" t="s">
        <v>74</v>
      </c>
      <c r="BH53" t="s">
        <v>74</v>
      </c>
      <c r="BI53" t="s">
        <v>74</v>
      </c>
      <c r="BJ53" t="s">
        <v>506</v>
      </c>
      <c r="BK53" t="s">
        <v>112</v>
      </c>
      <c r="BL53" t="s">
        <v>507</v>
      </c>
      <c r="BM53" t="s">
        <v>74</v>
      </c>
      <c r="BN53">
        <v>26201019</v>
      </c>
      <c r="BO53" t="s">
        <v>74</v>
      </c>
      <c r="BP53" t="s">
        <v>74</v>
      </c>
      <c r="BQ53" t="s">
        <v>74</v>
      </c>
      <c r="BR53" t="s">
        <v>93</v>
      </c>
      <c r="BS53" t="s">
        <v>8579</v>
      </c>
      <c r="BT53" t="str">
        <f>HYPERLINK("https%3A%2F%2Fwww.webofscience.com%2Fwos%2Fwoscc%2Ffull-record%2FWOS:000361047000001","View Full Record in Web of Science")</f>
        <v>View Full Record in Web of Science</v>
      </c>
    </row>
    <row r="54" spans="1:72" x14ac:dyDescent="0.15">
      <c r="A54" t="s">
        <v>72</v>
      </c>
      <c r="B54" t="s">
        <v>5430</v>
      </c>
      <c r="C54" t="s">
        <v>74</v>
      </c>
      <c r="D54" t="s">
        <v>74</v>
      </c>
      <c r="E54" t="s">
        <v>74</v>
      </c>
      <c r="F54" t="s">
        <v>5431</v>
      </c>
      <c r="G54" t="s">
        <v>74</v>
      </c>
      <c r="H54" t="s">
        <v>74</v>
      </c>
      <c r="I54" t="s">
        <v>5432</v>
      </c>
      <c r="J54" t="s">
        <v>1783</v>
      </c>
      <c r="K54" t="s">
        <v>74</v>
      </c>
      <c r="L54" t="s">
        <v>74</v>
      </c>
      <c r="M54" t="s">
        <v>74</v>
      </c>
      <c r="N54" t="s">
        <v>78</v>
      </c>
      <c r="O54" t="s">
        <v>74</v>
      </c>
      <c r="P54" t="s">
        <v>74</v>
      </c>
      <c r="Q54" t="s">
        <v>74</v>
      </c>
      <c r="R54" t="s">
        <v>74</v>
      </c>
      <c r="S54" t="s">
        <v>74</v>
      </c>
      <c r="T54" t="s">
        <v>5433</v>
      </c>
      <c r="U54" t="s">
        <v>5434</v>
      </c>
      <c r="V54" t="s">
        <v>5435</v>
      </c>
      <c r="W54" t="s">
        <v>5436</v>
      </c>
      <c r="X54" t="s">
        <v>5437</v>
      </c>
      <c r="Y54" t="s">
        <v>5438</v>
      </c>
      <c r="Z54" t="s">
        <v>5439</v>
      </c>
      <c r="AA54" t="s">
        <v>74</v>
      </c>
      <c r="AB54" t="s">
        <v>5440</v>
      </c>
      <c r="AC54" t="s">
        <v>74</v>
      </c>
      <c r="AD54" t="s">
        <v>74</v>
      </c>
      <c r="AE54" t="s">
        <v>74</v>
      </c>
      <c r="AF54" t="s">
        <v>74</v>
      </c>
      <c r="AG54">
        <v>27</v>
      </c>
      <c r="AH54">
        <v>125</v>
      </c>
      <c r="AI54">
        <v>126</v>
      </c>
      <c r="AJ54">
        <v>0</v>
      </c>
      <c r="AK54">
        <v>27</v>
      </c>
      <c r="AL54" t="s">
        <v>74</v>
      </c>
      <c r="AM54" t="s">
        <v>74</v>
      </c>
      <c r="AN54" t="s">
        <v>74</v>
      </c>
      <c r="AO54" t="s">
        <v>1792</v>
      </c>
      <c r="AP54" t="s">
        <v>1793</v>
      </c>
      <c r="AQ54" t="s">
        <v>74</v>
      </c>
      <c r="AR54" t="s">
        <v>74</v>
      </c>
      <c r="AS54" t="s">
        <v>74</v>
      </c>
      <c r="AT54" t="s">
        <v>129</v>
      </c>
      <c r="AU54">
        <v>2016</v>
      </c>
      <c r="AV54">
        <v>27</v>
      </c>
      <c r="AW54">
        <v>4</v>
      </c>
      <c r="AX54" t="s">
        <v>74</v>
      </c>
      <c r="AY54" t="s">
        <v>74</v>
      </c>
      <c r="AZ54" t="s">
        <v>74</v>
      </c>
      <c r="BA54" t="s">
        <v>74</v>
      </c>
      <c r="BB54">
        <v>635</v>
      </c>
      <c r="BC54">
        <v>641</v>
      </c>
      <c r="BD54" t="s">
        <v>74</v>
      </c>
      <c r="BE54" t="s">
        <v>5441</v>
      </c>
      <c r="BF54" t="str">
        <f>HYPERLINK("http://dx.doi.org/10.1093/annonc/mdv604","http://dx.doi.org/10.1093/annonc/mdv604")</f>
        <v>http://dx.doi.org/10.1093/annonc/mdv604</v>
      </c>
      <c r="BG54" t="s">
        <v>74</v>
      </c>
      <c r="BH54" t="s">
        <v>74</v>
      </c>
      <c r="BI54" t="s">
        <v>74</v>
      </c>
      <c r="BJ54" t="s">
        <v>146</v>
      </c>
      <c r="BK54" t="s">
        <v>112</v>
      </c>
      <c r="BL54" t="s">
        <v>146</v>
      </c>
      <c r="BM54" t="s">
        <v>74</v>
      </c>
      <c r="BN54">
        <v>26681674</v>
      </c>
      <c r="BO54" t="s">
        <v>74</v>
      </c>
      <c r="BP54" t="s">
        <v>74</v>
      </c>
      <c r="BQ54" t="s">
        <v>74</v>
      </c>
      <c r="BR54" t="s">
        <v>93</v>
      </c>
      <c r="BS54" t="s">
        <v>5442</v>
      </c>
      <c r="BT54" t="str">
        <f>HYPERLINK("https%3A%2F%2Fwww.webofscience.com%2Fwos%2Fwoscc%2Ffull-record%2FWOS:000374237700011","View Full Record in Web of Science")</f>
        <v>View Full Record in Web of Science</v>
      </c>
    </row>
    <row r="55" spans="1:72" x14ac:dyDescent="0.15">
      <c r="A55" t="s">
        <v>72</v>
      </c>
      <c r="B55" t="s">
        <v>3234</v>
      </c>
      <c r="C55" t="s">
        <v>74</v>
      </c>
      <c r="D55" t="s">
        <v>74</v>
      </c>
      <c r="E55" t="s">
        <v>74</v>
      </c>
      <c r="F55" t="s">
        <v>3235</v>
      </c>
      <c r="G55" t="s">
        <v>74</v>
      </c>
      <c r="H55" t="s">
        <v>74</v>
      </c>
      <c r="I55" t="s">
        <v>3236</v>
      </c>
      <c r="J55" t="s">
        <v>1828</v>
      </c>
      <c r="K55" t="s">
        <v>74</v>
      </c>
      <c r="L55" t="s">
        <v>74</v>
      </c>
      <c r="M55" t="s">
        <v>74</v>
      </c>
      <c r="N55" t="s">
        <v>78</v>
      </c>
      <c r="O55" t="s">
        <v>74</v>
      </c>
      <c r="P55" t="s">
        <v>74</v>
      </c>
      <c r="Q55" t="s">
        <v>74</v>
      </c>
      <c r="R55" t="s">
        <v>74</v>
      </c>
      <c r="S55" t="s">
        <v>74</v>
      </c>
      <c r="T55" t="s">
        <v>74</v>
      </c>
      <c r="U55" t="s">
        <v>3237</v>
      </c>
      <c r="V55" t="s">
        <v>3238</v>
      </c>
      <c r="W55" t="s">
        <v>3239</v>
      </c>
      <c r="X55" t="s">
        <v>3240</v>
      </c>
      <c r="Y55" t="s">
        <v>3241</v>
      </c>
      <c r="Z55" t="s">
        <v>3242</v>
      </c>
      <c r="AA55" t="s">
        <v>3243</v>
      </c>
      <c r="AB55" t="s">
        <v>3244</v>
      </c>
      <c r="AC55" t="s">
        <v>74</v>
      </c>
      <c r="AD55" t="s">
        <v>74</v>
      </c>
      <c r="AE55" t="s">
        <v>74</v>
      </c>
      <c r="AF55" t="s">
        <v>74</v>
      </c>
      <c r="AG55">
        <v>58</v>
      </c>
      <c r="AH55">
        <v>123</v>
      </c>
      <c r="AI55">
        <v>126</v>
      </c>
      <c r="AJ55">
        <v>1</v>
      </c>
      <c r="AK55">
        <v>21</v>
      </c>
      <c r="AL55" t="s">
        <v>74</v>
      </c>
      <c r="AM55" t="s">
        <v>74</v>
      </c>
      <c r="AN55" t="s">
        <v>74</v>
      </c>
      <c r="AO55" t="s">
        <v>1837</v>
      </c>
      <c r="AP55" t="s">
        <v>74</v>
      </c>
      <c r="AQ55" t="s">
        <v>74</v>
      </c>
      <c r="AR55" t="s">
        <v>74</v>
      </c>
      <c r="AS55" t="s">
        <v>74</v>
      </c>
      <c r="AT55" t="s">
        <v>3245</v>
      </c>
      <c r="AU55">
        <v>2017</v>
      </c>
      <c r="AV55">
        <v>7</v>
      </c>
      <c r="AW55" t="s">
        <v>74</v>
      </c>
      <c r="AX55" t="s">
        <v>74</v>
      </c>
      <c r="AY55" t="s">
        <v>74</v>
      </c>
      <c r="AZ55" t="s">
        <v>74</v>
      </c>
      <c r="BA55" t="s">
        <v>74</v>
      </c>
      <c r="BB55" t="s">
        <v>74</v>
      </c>
      <c r="BC55" t="s">
        <v>74</v>
      </c>
      <c r="BD55">
        <v>6438</v>
      </c>
      <c r="BE55" t="s">
        <v>3246</v>
      </c>
      <c r="BF55" t="str">
        <f>HYPERLINK("http://dx.doi.org/10.1038/s41598-017-06893-7","http://dx.doi.org/10.1038/s41598-017-06893-7")</f>
        <v>http://dx.doi.org/10.1038/s41598-017-06893-7</v>
      </c>
      <c r="BG55" t="s">
        <v>74</v>
      </c>
      <c r="BH55" t="s">
        <v>74</v>
      </c>
      <c r="BI55" t="s">
        <v>74</v>
      </c>
      <c r="BJ55" t="s">
        <v>545</v>
      </c>
      <c r="BK55" t="s">
        <v>112</v>
      </c>
      <c r="BL55" t="s">
        <v>546</v>
      </c>
      <c r="BM55" t="s">
        <v>74</v>
      </c>
      <c r="BN55">
        <v>28743887</v>
      </c>
      <c r="BO55" t="s">
        <v>74</v>
      </c>
      <c r="BP55" t="s">
        <v>74</v>
      </c>
      <c r="BQ55" t="s">
        <v>74</v>
      </c>
      <c r="BR55" t="s">
        <v>93</v>
      </c>
      <c r="BS55" t="s">
        <v>3247</v>
      </c>
      <c r="BT55" t="str">
        <f>HYPERLINK("https%3A%2F%2Fwww.webofscience.com%2Fwos%2Fwoscc%2Ffull-record%2FWOS:000406281400003","View Full Record in Web of Science")</f>
        <v>View Full Record in Web of Science</v>
      </c>
    </row>
    <row r="56" spans="1:72" x14ac:dyDescent="0.15">
      <c r="A56" t="s">
        <v>72</v>
      </c>
      <c r="B56" t="s">
        <v>10268</v>
      </c>
      <c r="C56" t="s">
        <v>74</v>
      </c>
      <c r="D56" t="s">
        <v>74</v>
      </c>
      <c r="E56" t="s">
        <v>74</v>
      </c>
      <c r="F56" t="s">
        <v>10268</v>
      </c>
      <c r="G56" t="s">
        <v>74</v>
      </c>
      <c r="H56" t="s">
        <v>74</v>
      </c>
      <c r="I56" t="s">
        <v>10269</v>
      </c>
      <c r="J56" t="s">
        <v>10270</v>
      </c>
      <c r="K56" t="s">
        <v>74</v>
      </c>
      <c r="L56" t="s">
        <v>74</v>
      </c>
      <c r="M56" t="s">
        <v>74</v>
      </c>
      <c r="N56" t="s">
        <v>78</v>
      </c>
      <c r="O56" t="s">
        <v>74</v>
      </c>
      <c r="P56" t="s">
        <v>74</v>
      </c>
      <c r="Q56" t="s">
        <v>74</v>
      </c>
      <c r="R56" t="s">
        <v>74</v>
      </c>
      <c r="S56" t="s">
        <v>74</v>
      </c>
      <c r="T56" t="s">
        <v>74</v>
      </c>
      <c r="U56" t="s">
        <v>10271</v>
      </c>
      <c r="V56" t="s">
        <v>10272</v>
      </c>
      <c r="W56" t="s">
        <v>10273</v>
      </c>
      <c r="X56" t="s">
        <v>10274</v>
      </c>
      <c r="Y56" t="s">
        <v>10275</v>
      </c>
      <c r="Z56" t="s">
        <v>74</v>
      </c>
      <c r="AA56" t="s">
        <v>74</v>
      </c>
      <c r="AB56" t="s">
        <v>10276</v>
      </c>
      <c r="AC56" t="s">
        <v>74</v>
      </c>
      <c r="AD56" t="s">
        <v>74</v>
      </c>
      <c r="AE56" t="s">
        <v>74</v>
      </c>
      <c r="AF56" t="s">
        <v>74</v>
      </c>
      <c r="AG56">
        <v>52</v>
      </c>
      <c r="AH56">
        <v>122</v>
      </c>
      <c r="AI56">
        <v>125</v>
      </c>
      <c r="AJ56">
        <v>0</v>
      </c>
      <c r="AK56">
        <v>4</v>
      </c>
      <c r="AL56" t="s">
        <v>74</v>
      </c>
      <c r="AM56" t="s">
        <v>74</v>
      </c>
      <c r="AN56" t="s">
        <v>74</v>
      </c>
      <c r="AO56" t="s">
        <v>10277</v>
      </c>
      <c r="AP56" t="s">
        <v>74</v>
      </c>
      <c r="AQ56" t="s">
        <v>74</v>
      </c>
      <c r="AR56" t="s">
        <v>74</v>
      </c>
      <c r="AS56" t="s">
        <v>74</v>
      </c>
      <c r="AT56" t="s">
        <v>1111</v>
      </c>
      <c r="AU56">
        <v>2001</v>
      </c>
      <c r="AV56">
        <v>44</v>
      </c>
      <c r="AW56">
        <v>5</v>
      </c>
      <c r="AX56" t="s">
        <v>74</v>
      </c>
      <c r="AY56" t="s">
        <v>74</v>
      </c>
      <c r="AZ56" t="s">
        <v>74</v>
      </c>
      <c r="BA56" t="s">
        <v>74</v>
      </c>
      <c r="BB56">
        <v>1071</v>
      </c>
      <c r="BC56">
        <v>1081</v>
      </c>
      <c r="BD56" t="s">
        <v>74</v>
      </c>
      <c r="BE56" t="s">
        <v>10278</v>
      </c>
      <c r="BF56" t="str">
        <f>HYPERLINK("http://dx.doi.org/10.1002/1529-0131(200105)44:5&lt;1071::AID-ANR187&gt;3.3.CO;2-V","http://dx.doi.org/10.1002/1529-0131(200105)44:5&lt;1071::AID-ANR187&gt;3.3.CO;2-V")</f>
        <v>http://dx.doi.org/10.1002/1529-0131(200105)44:5&lt;1071::AID-ANR187&gt;3.3.CO;2-V</v>
      </c>
      <c r="BG56" t="s">
        <v>74</v>
      </c>
      <c r="BH56" t="s">
        <v>74</v>
      </c>
      <c r="BI56" t="s">
        <v>74</v>
      </c>
      <c r="BJ56" t="s">
        <v>5774</v>
      </c>
      <c r="BK56" t="s">
        <v>112</v>
      </c>
      <c r="BL56" t="s">
        <v>5774</v>
      </c>
      <c r="BM56" t="s">
        <v>74</v>
      </c>
      <c r="BN56">
        <v>11352238</v>
      </c>
      <c r="BO56" t="s">
        <v>74</v>
      </c>
      <c r="BP56" t="s">
        <v>74</v>
      </c>
      <c r="BQ56" t="s">
        <v>74</v>
      </c>
      <c r="BR56" t="s">
        <v>93</v>
      </c>
      <c r="BS56" t="s">
        <v>10279</v>
      </c>
      <c r="BT56" t="str">
        <f>HYPERLINK("https%3A%2F%2Fwww.webofscience.com%2Fwos%2Fwoscc%2Ffull-record%2FWOS:000171751000012","View Full Record in Web of Science")</f>
        <v>View Full Record in Web of Science</v>
      </c>
    </row>
    <row r="57" spans="1:72" x14ac:dyDescent="0.15">
      <c r="A57" t="s">
        <v>72</v>
      </c>
      <c r="B57" t="s">
        <v>10950</v>
      </c>
      <c r="C57" t="s">
        <v>74</v>
      </c>
      <c r="D57" t="s">
        <v>74</v>
      </c>
      <c r="E57" t="s">
        <v>74</v>
      </c>
      <c r="F57" t="s">
        <v>10951</v>
      </c>
      <c r="G57" t="s">
        <v>74</v>
      </c>
      <c r="H57" t="s">
        <v>74</v>
      </c>
      <c r="I57" t="s">
        <v>10952</v>
      </c>
      <c r="J57" t="s">
        <v>2154</v>
      </c>
      <c r="K57" t="s">
        <v>74</v>
      </c>
      <c r="L57" t="s">
        <v>74</v>
      </c>
      <c r="M57" t="s">
        <v>74</v>
      </c>
      <c r="N57" t="s">
        <v>78</v>
      </c>
      <c r="O57" t="s">
        <v>74</v>
      </c>
      <c r="P57" t="s">
        <v>74</v>
      </c>
      <c r="Q57" t="s">
        <v>74</v>
      </c>
      <c r="R57" t="s">
        <v>74</v>
      </c>
      <c r="S57" t="s">
        <v>74</v>
      </c>
      <c r="T57" t="s">
        <v>74</v>
      </c>
      <c r="U57" t="s">
        <v>10953</v>
      </c>
      <c r="V57" t="s">
        <v>10954</v>
      </c>
      <c r="W57" t="s">
        <v>10955</v>
      </c>
      <c r="X57" t="s">
        <v>2965</v>
      </c>
      <c r="Y57" t="s">
        <v>10956</v>
      </c>
      <c r="Z57" t="s">
        <v>10957</v>
      </c>
      <c r="AA57" t="s">
        <v>10958</v>
      </c>
      <c r="AB57" t="s">
        <v>10959</v>
      </c>
      <c r="AC57" t="s">
        <v>74</v>
      </c>
      <c r="AD57" t="s">
        <v>74</v>
      </c>
      <c r="AE57" t="s">
        <v>74</v>
      </c>
      <c r="AF57" t="s">
        <v>74</v>
      </c>
      <c r="AG57">
        <v>66</v>
      </c>
      <c r="AH57">
        <v>122</v>
      </c>
      <c r="AI57">
        <v>123</v>
      </c>
      <c r="AJ57">
        <v>15</v>
      </c>
      <c r="AK57">
        <v>250</v>
      </c>
      <c r="AL57" t="s">
        <v>74</v>
      </c>
      <c r="AM57" t="s">
        <v>74</v>
      </c>
      <c r="AN57" t="s">
        <v>74</v>
      </c>
      <c r="AO57" t="s">
        <v>2161</v>
      </c>
      <c r="AP57" t="s">
        <v>2162</v>
      </c>
      <c r="AQ57" t="s">
        <v>74</v>
      </c>
      <c r="AR57" t="s">
        <v>74</v>
      </c>
      <c r="AS57" t="s">
        <v>74</v>
      </c>
      <c r="AT57" t="s">
        <v>74</v>
      </c>
      <c r="AU57">
        <v>2015</v>
      </c>
      <c r="AV57">
        <v>15</v>
      </c>
      <c r="AW57">
        <v>7</v>
      </c>
      <c r="AX57" t="s">
        <v>74</v>
      </c>
      <c r="AY57" t="s">
        <v>74</v>
      </c>
      <c r="AZ57" t="s">
        <v>74</v>
      </c>
      <c r="BA57" t="s">
        <v>74</v>
      </c>
      <c r="BB57">
        <v>1656</v>
      </c>
      <c r="BC57">
        <v>1666</v>
      </c>
      <c r="BD57" t="s">
        <v>74</v>
      </c>
      <c r="BE57" t="s">
        <v>10960</v>
      </c>
      <c r="BF57" t="str">
        <f>HYPERLINK("http://dx.doi.org/10.1039/c5lc00036j","http://dx.doi.org/10.1039/c5lc00036j")</f>
        <v>http://dx.doi.org/10.1039/c5lc00036j</v>
      </c>
      <c r="BG57" t="s">
        <v>74</v>
      </c>
      <c r="BH57" t="s">
        <v>74</v>
      </c>
      <c r="BI57" t="s">
        <v>74</v>
      </c>
      <c r="BJ57" t="s">
        <v>2164</v>
      </c>
      <c r="BK57" t="s">
        <v>112</v>
      </c>
      <c r="BL57" t="s">
        <v>2165</v>
      </c>
      <c r="BM57" t="s">
        <v>74</v>
      </c>
      <c r="BN57">
        <v>25690152</v>
      </c>
      <c r="BO57" t="s">
        <v>74</v>
      </c>
      <c r="BP57" t="s">
        <v>74</v>
      </c>
      <c r="BQ57" t="s">
        <v>74</v>
      </c>
      <c r="BR57" t="s">
        <v>93</v>
      </c>
      <c r="BS57" t="s">
        <v>10961</v>
      </c>
      <c r="BT57" t="str">
        <f>HYPERLINK("https%3A%2F%2Fwww.webofscience.com%2Fwos%2Fwoscc%2Ffull-record%2FWOS:000351493100007","View Full Record in Web of Science")</f>
        <v>View Full Record in Web of Science</v>
      </c>
    </row>
    <row r="58" spans="1:72" x14ac:dyDescent="0.15">
      <c r="A58" t="s">
        <v>72</v>
      </c>
      <c r="B58" t="s">
        <v>471</v>
      </c>
      <c r="C58" t="s">
        <v>74</v>
      </c>
      <c r="D58" t="s">
        <v>74</v>
      </c>
      <c r="E58" t="s">
        <v>74</v>
      </c>
      <c r="F58" t="s">
        <v>472</v>
      </c>
      <c r="G58" t="s">
        <v>74</v>
      </c>
      <c r="H58" t="s">
        <v>74</v>
      </c>
      <c r="I58" t="s">
        <v>473</v>
      </c>
      <c r="J58" t="s">
        <v>474</v>
      </c>
      <c r="K58" t="s">
        <v>74</v>
      </c>
      <c r="L58" t="s">
        <v>74</v>
      </c>
      <c r="M58" t="s">
        <v>74</v>
      </c>
      <c r="N58" t="s">
        <v>78</v>
      </c>
      <c r="O58" t="s">
        <v>74</v>
      </c>
      <c r="P58" t="s">
        <v>74</v>
      </c>
      <c r="Q58" t="s">
        <v>74</v>
      </c>
      <c r="R58" t="s">
        <v>74</v>
      </c>
      <c r="S58" t="s">
        <v>74</v>
      </c>
      <c r="T58" t="s">
        <v>475</v>
      </c>
      <c r="U58" t="s">
        <v>476</v>
      </c>
      <c r="V58" t="s">
        <v>477</v>
      </c>
      <c r="W58" t="s">
        <v>478</v>
      </c>
      <c r="X58" t="s">
        <v>479</v>
      </c>
      <c r="Y58" t="s">
        <v>480</v>
      </c>
      <c r="Z58" t="s">
        <v>481</v>
      </c>
      <c r="AA58" t="s">
        <v>482</v>
      </c>
      <c r="AB58" t="s">
        <v>483</v>
      </c>
      <c r="AC58" t="s">
        <v>74</v>
      </c>
      <c r="AD58" t="s">
        <v>74</v>
      </c>
      <c r="AE58" t="s">
        <v>74</v>
      </c>
      <c r="AF58" t="s">
        <v>74</v>
      </c>
      <c r="AG58">
        <v>33</v>
      </c>
      <c r="AH58">
        <v>117</v>
      </c>
      <c r="AI58">
        <v>121</v>
      </c>
      <c r="AJ58">
        <v>2</v>
      </c>
      <c r="AK58">
        <v>32</v>
      </c>
      <c r="AL58" t="s">
        <v>74</v>
      </c>
      <c r="AM58" t="s">
        <v>74</v>
      </c>
      <c r="AN58" t="s">
        <v>74</v>
      </c>
      <c r="AO58" t="s">
        <v>74</v>
      </c>
      <c r="AP58" t="s">
        <v>484</v>
      </c>
      <c r="AQ58" t="s">
        <v>74</v>
      </c>
      <c r="AR58" t="s">
        <v>74</v>
      </c>
      <c r="AS58" t="s">
        <v>74</v>
      </c>
      <c r="AT58" t="s">
        <v>485</v>
      </c>
      <c r="AU58">
        <v>2017</v>
      </c>
      <c r="AV58">
        <v>8</v>
      </c>
      <c r="AW58">
        <v>1</v>
      </c>
      <c r="AX58" t="s">
        <v>74</v>
      </c>
      <c r="AY58" t="s">
        <v>74</v>
      </c>
      <c r="AZ58" t="s">
        <v>74</v>
      </c>
      <c r="BA58" t="s">
        <v>74</v>
      </c>
      <c r="BB58">
        <v>1416</v>
      </c>
      <c r="BC58">
        <v>1428</v>
      </c>
      <c r="BD58" t="s">
        <v>74</v>
      </c>
      <c r="BE58" t="s">
        <v>486</v>
      </c>
      <c r="BF58" t="str">
        <f>HYPERLINK("http://dx.doi.org/10.18632/oncotarget.13635","http://dx.doi.org/10.18632/oncotarget.13635")</f>
        <v>http://dx.doi.org/10.18632/oncotarget.13635</v>
      </c>
      <c r="BG58" t="s">
        <v>74</v>
      </c>
      <c r="BH58" t="s">
        <v>74</v>
      </c>
      <c r="BI58" t="s">
        <v>74</v>
      </c>
      <c r="BJ58" t="s">
        <v>487</v>
      </c>
      <c r="BK58" t="s">
        <v>112</v>
      </c>
      <c r="BL58" t="s">
        <v>487</v>
      </c>
      <c r="BM58" t="s">
        <v>74</v>
      </c>
      <c r="BN58">
        <v>27902458</v>
      </c>
      <c r="BO58" t="s">
        <v>74</v>
      </c>
      <c r="BP58" t="s">
        <v>74</v>
      </c>
      <c r="BQ58" t="s">
        <v>74</v>
      </c>
      <c r="BR58" t="s">
        <v>93</v>
      </c>
      <c r="BS58" t="s">
        <v>488</v>
      </c>
      <c r="BT58" t="str">
        <f>HYPERLINK("https%3A%2F%2Fwww.webofscience.com%2Fwos%2Fwoscc%2Ffull-record%2FWOS:000391503300110","View Full Record in Web of Science")</f>
        <v>View Full Record in Web of Science</v>
      </c>
    </row>
    <row r="59" spans="1:72" x14ac:dyDescent="0.15">
      <c r="A59" t="s">
        <v>72</v>
      </c>
      <c r="B59" t="s">
        <v>6106</v>
      </c>
      <c r="C59" t="s">
        <v>74</v>
      </c>
      <c r="D59" t="s">
        <v>74</v>
      </c>
      <c r="E59" t="s">
        <v>74</v>
      </c>
      <c r="F59" t="s">
        <v>6107</v>
      </c>
      <c r="G59" t="s">
        <v>74</v>
      </c>
      <c r="H59" t="s">
        <v>74</v>
      </c>
      <c r="I59" t="s">
        <v>6108</v>
      </c>
      <c r="J59" t="s">
        <v>1783</v>
      </c>
      <c r="K59" t="s">
        <v>74</v>
      </c>
      <c r="L59" t="s">
        <v>74</v>
      </c>
      <c r="M59" t="s">
        <v>74</v>
      </c>
      <c r="N59" t="s">
        <v>78</v>
      </c>
      <c r="O59" t="s">
        <v>74</v>
      </c>
      <c r="P59" t="s">
        <v>74</v>
      </c>
      <c r="Q59" t="s">
        <v>74</v>
      </c>
      <c r="R59" t="s">
        <v>74</v>
      </c>
      <c r="S59" t="s">
        <v>74</v>
      </c>
      <c r="T59" t="s">
        <v>6109</v>
      </c>
      <c r="U59" t="s">
        <v>6110</v>
      </c>
      <c r="V59" t="s">
        <v>6111</v>
      </c>
      <c r="W59" t="s">
        <v>6112</v>
      </c>
      <c r="X59" t="s">
        <v>6113</v>
      </c>
      <c r="Y59" t="s">
        <v>1320</v>
      </c>
      <c r="Z59" t="s">
        <v>6114</v>
      </c>
      <c r="AA59" t="s">
        <v>6115</v>
      </c>
      <c r="AB59" t="s">
        <v>6116</v>
      </c>
      <c r="AC59" t="s">
        <v>74</v>
      </c>
      <c r="AD59" t="s">
        <v>74</v>
      </c>
      <c r="AE59" t="s">
        <v>74</v>
      </c>
      <c r="AF59" t="s">
        <v>74</v>
      </c>
      <c r="AG59">
        <v>38</v>
      </c>
      <c r="AH59">
        <v>114</v>
      </c>
      <c r="AI59">
        <v>120</v>
      </c>
      <c r="AJ59">
        <v>1</v>
      </c>
      <c r="AK59">
        <v>34</v>
      </c>
      <c r="AL59" t="s">
        <v>74</v>
      </c>
      <c r="AM59" t="s">
        <v>74</v>
      </c>
      <c r="AN59" t="s">
        <v>74</v>
      </c>
      <c r="AO59" t="s">
        <v>1792</v>
      </c>
      <c r="AP59" t="s">
        <v>1793</v>
      </c>
      <c r="AQ59" t="s">
        <v>74</v>
      </c>
      <c r="AR59" t="s">
        <v>74</v>
      </c>
      <c r="AS59" t="s">
        <v>74</v>
      </c>
      <c r="AT59" t="s">
        <v>743</v>
      </c>
      <c r="AU59">
        <v>2018</v>
      </c>
      <c r="AV59">
        <v>29</v>
      </c>
      <c r="AW59">
        <v>3</v>
      </c>
      <c r="AX59" t="s">
        <v>74</v>
      </c>
      <c r="AY59" t="s">
        <v>74</v>
      </c>
      <c r="AZ59" t="s">
        <v>74</v>
      </c>
      <c r="BA59" t="s">
        <v>74</v>
      </c>
      <c r="BB59">
        <v>700</v>
      </c>
      <c r="BC59">
        <v>706</v>
      </c>
      <c r="BD59" t="s">
        <v>74</v>
      </c>
      <c r="BE59" t="s">
        <v>6117</v>
      </c>
      <c r="BF59" t="str">
        <f>HYPERLINK("http://dx.doi.org/10.1093/annonc/mdx765","http://dx.doi.org/10.1093/annonc/mdx765")</f>
        <v>http://dx.doi.org/10.1093/annonc/mdx765</v>
      </c>
      <c r="BG59" t="s">
        <v>74</v>
      </c>
      <c r="BH59" t="s">
        <v>74</v>
      </c>
      <c r="BI59" t="s">
        <v>74</v>
      </c>
      <c r="BJ59" t="s">
        <v>146</v>
      </c>
      <c r="BK59" t="s">
        <v>112</v>
      </c>
      <c r="BL59" t="s">
        <v>146</v>
      </c>
      <c r="BM59" t="s">
        <v>74</v>
      </c>
      <c r="BN59">
        <v>29216356</v>
      </c>
      <c r="BO59" t="s">
        <v>74</v>
      </c>
      <c r="BP59" t="s">
        <v>74</v>
      </c>
      <c r="BQ59" t="s">
        <v>74</v>
      </c>
      <c r="BR59" t="s">
        <v>93</v>
      </c>
      <c r="BS59" t="s">
        <v>6118</v>
      </c>
      <c r="BT59" t="str">
        <f>HYPERLINK("https%3A%2F%2Fwww.webofscience.com%2Fwos%2Fwoscc%2Ffull-record%2FWOS:000429455000027","View Full Record in Web of Science")</f>
        <v>View Full Record in Web of Science</v>
      </c>
    </row>
    <row r="60" spans="1:72" x14ac:dyDescent="0.15">
      <c r="A60" t="s">
        <v>72</v>
      </c>
      <c r="B60" t="s">
        <v>2789</v>
      </c>
      <c r="C60" t="s">
        <v>74</v>
      </c>
      <c r="D60" t="s">
        <v>74</v>
      </c>
      <c r="E60" t="s">
        <v>74</v>
      </c>
      <c r="F60" t="s">
        <v>2790</v>
      </c>
      <c r="G60" t="s">
        <v>74</v>
      </c>
      <c r="H60" t="s">
        <v>74</v>
      </c>
      <c r="I60" t="s">
        <v>2791</v>
      </c>
      <c r="J60" t="s">
        <v>1828</v>
      </c>
      <c r="K60" t="s">
        <v>74</v>
      </c>
      <c r="L60" t="s">
        <v>74</v>
      </c>
      <c r="M60" t="s">
        <v>74</v>
      </c>
      <c r="N60" t="s">
        <v>78</v>
      </c>
      <c r="O60" t="s">
        <v>74</v>
      </c>
      <c r="P60" t="s">
        <v>74</v>
      </c>
      <c r="Q60" t="s">
        <v>74</v>
      </c>
      <c r="R60" t="s">
        <v>74</v>
      </c>
      <c r="S60" t="s">
        <v>74</v>
      </c>
      <c r="T60" t="s">
        <v>74</v>
      </c>
      <c r="U60" t="s">
        <v>2792</v>
      </c>
      <c r="V60" t="s">
        <v>2793</v>
      </c>
      <c r="W60" t="s">
        <v>2794</v>
      </c>
      <c r="X60" t="s">
        <v>2795</v>
      </c>
      <c r="Y60" t="s">
        <v>2796</v>
      </c>
      <c r="Z60" t="s">
        <v>2797</v>
      </c>
      <c r="AA60" t="s">
        <v>74</v>
      </c>
      <c r="AB60" t="s">
        <v>2798</v>
      </c>
      <c r="AC60" t="s">
        <v>74</v>
      </c>
      <c r="AD60" t="s">
        <v>74</v>
      </c>
      <c r="AE60" t="s">
        <v>74</v>
      </c>
      <c r="AF60" t="s">
        <v>74</v>
      </c>
      <c r="AG60">
        <v>47</v>
      </c>
      <c r="AH60">
        <v>113</v>
      </c>
      <c r="AI60">
        <v>114</v>
      </c>
      <c r="AJ60">
        <v>1</v>
      </c>
      <c r="AK60">
        <v>34</v>
      </c>
      <c r="AL60" t="s">
        <v>74</v>
      </c>
      <c r="AM60" t="s">
        <v>74</v>
      </c>
      <c r="AN60" t="s">
        <v>74</v>
      </c>
      <c r="AO60" t="s">
        <v>1837</v>
      </c>
      <c r="AP60" t="s">
        <v>74</v>
      </c>
      <c r="AQ60" t="s">
        <v>74</v>
      </c>
      <c r="AR60" t="s">
        <v>74</v>
      </c>
      <c r="AS60" t="s">
        <v>74</v>
      </c>
      <c r="AT60" t="s">
        <v>2799</v>
      </c>
      <c r="AU60">
        <v>2015</v>
      </c>
      <c r="AV60">
        <v>5</v>
      </c>
      <c r="AW60" t="s">
        <v>74</v>
      </c>
      <c r="AX60" t="s">
        <v>74</v>
      </c>
      <c r="AY60" t="s">
        <v>74</v>
      </c>
      <c r="AZ60" t="s">
        <v>74</v>
      </c>
      <c r="BA60" t="s">
        <v>74</v>
      </c>
      <c r="BB60" t="s">
        <v>74</v>
      </c>
      <c r="BC60" t="s">
        <v>74</v>
      </c>
      <c r="BD60">
        <v>10266</v>
      </c>
      <c r="BE60" t="s">
        <v>2800</v>
      </c>
      <c r="BF60" t="str">
        <f>HYPERLINK("http://dx.doi.org/10.1038/srep10266","http://dx.doi.org/10.1038/srep10266")</f>
        <v>http://dx.doi.org/10.1038/srep10266</v>
      </c>
      <c r="BG60" t="s">
        <v>74</v>
      </c>
      <c r="BH60" t="s">
        <v>74</v>
      </c>
      <c r="BI60" t="s">
        <v>74</v>
      </c>
      <c r="BJ60" t="s">
        <v>545</v>
      </c>
      <c r="BK60" t="s">
        <v>112</v>
      </c>
      <c r="BL60" t="s">
        <v>546</v>
      </c>
      <c r="BM60" t="s">
        <v>74</v>
      </c>
      <c r="BN60">
        <v>25988257</v>
      </c>
      <c r="BO60" t="s">
        <v>74</v>
      </c>
      <c r="BP60" t="s">
        <v>74</v>
      </c>
      <c r="BQ60" t="s">
        <v>74</v>
      </c>
      <c r="BR60" t="s">
        <v>93</v>
      </c>
      <c r="BS60" t="s">
        <v>2801</v>
      </c>
      <c r="BT60" t="str">
        <f>HYPERLINK("https%3A%2F%2Fwww.webofscience.com%2Fwos%2Fwoscc%2Ffull-record%2FWOS:000355296800001","View Full Record in Web of Science")</f>
        <v>View Full Record in Web of Science</v>
      </c>
    </row>
    <row r="61" spans="1:72" x14ac:dyDescent="0.15">
      <c r="A61" t="s">
        <v>72</v>
      </c>
      <c r="B61" t="s">
        <v>10478</v>
      </c>
      <c r="C61" t="s">
        <v>74</v>
      </c>
      <c r="D61" t="s">
        <v>74</v>
      </c>
      <c r="E61" t="s">
        <v>74</v>
      </c>
      <c r="F61" t="s">
        <v>10478</v>
      </c>
      <c r="G61" t="s">
        <v>74</v>
      </c>
      <c r="H61" t="s">
        <v>74</v>
      </c>
      <c r="I61" t="s">
        <v>10479</v>
      </c>
      <c r="J61" t="s">
        <v>10480</v>
      </c>
      <c r="K61" t="s">
        <v>74</v>
      </c>
      <c r="L61" t="s">
        <v>74</v>
      </c>
      <c r="M61" t="s">
        <v>74</v>
      </c>
      <c r="N61" t="s">
        <v>78</v>
      </c>
      <c r="O61" t="s">
        <v>74</v>
      </c>
      <c r="P61" t="s">
        <v>74</v>
      </c>
      <c r="Q61" t="s">
        <v>74</v>
      </c>
      <c r="R61" t="s">
        <v>74</v>
      </c>
      <c r="S61" t="s">
        <v>74</v>
      </c>
      <c r="T61" t="s">
        <v>74</v>
      </c>
      <c r="U61" t="s">
        <v>10481</v>
      </c>
      <c r="V61" t="s">
        <v>10482</v>
      </c>
      <c r="W61" t="s">
        <v>10483</v>
      </c>
      <c r="X61" t="s">
        <v>10484</v>
      </c>
      <c r="Y61" t="s">
        <v>10485</v>
      </c>
      <c r="Z61" t="s">
        <v>10486</v>
      </c>
      <c r="AA61" t="s">
        <v>10487</v>
      </c>
      <c r="AB61" t="s">
        <v>10488</v>
      </c>
      <c r="AC61" t="s">
        <v>74</v>
      </c>
      <c r="AD61" t="s">
        <v>74</v>
      </c>
      <c r="AE61" t="s">
        <v>74</v>
      </c>
      <c r="AF61" t="s">
        <v>74</v>
      </c>
      <c r="AG61">
        <v>74</v>
      </c>
      <c r="AH61">
        <v>113</v>
      </c>
      <c r="AI61">
        <v>124</v>
      </c>
      <c r="AJ61">
        <v>0</v>
      </c>
      <c r="AK61">
        <v>7</v>
      </c>
      <c r="AL61" t="s">
        <v>74</v>
      </c>
      <c r="AM61" t="s">
        <v>74</v>
      </c>
      <c r="AN61" t="s">
        <v>74</v>
      </c>
      <c r="AO61" t="s">
        <v>10489</v>
      </c>
      <c r="AP61" t="s">
        <v>10490</v>
      </c>
      <c r="AQ61" t="s">
        <v>74</v>
      </c>
      <c r="AR61" t="s">
        <v>74</v>
      </c>
      <c r="AS61" t="s">
        <v>74</v>
      </c>
      <c r="AT61" t="s">
        <v>640</v>
      </c>
      <c r="AU61">
        <v>2004</v>
      </c>
      <c r="AV61">
        <v>72</v>
      </c>
      <c r="AW61">
        <v>2</v>
      </c>
      <c r="AX61" t="s">
        <v>74</v>
      </c>
      <c r="AY61" t="s">
        <v>74</v>
      </c>
      <c r="AZ61" t="s">
        <v>74</v>
      </c>
      <c r="BA61" t="s">
        <v>74</v>
      </c>
      <c r="BB61">
        <v>1019</v>
      </c>
      <c r="BC61">
        <v>1028</v>
      </c>
      <c r="BD61" t="s">
        <v>74</v>
      </c>
      <c r="BE61" t="s">
        <v>10491</v>
      </c>
      <c r="BF61" t="str">
        <f>HYPERLINK("http://dx.doi.org/10.1128/IAI.72.2.1019-1028.2004","http://dx.doi.org/10.1128/IAI.72.2.1019-1028.2004")</f>
        <v>http://dx.doi.org/10.1128/IAI.72.2.1019-1028.2004</v>
      </c>
      <c r="BG61" t="s">
        <v>74</v>
      </c>
      <c r="BH61" t="s">
        <v>74</v>
      </c>
      <c r="BI61" t="s">
        <v>74</v>
      </c>
      <c r="BJ61" t="s">
        <v>10492</v>
      </c>
      <c r="BK61" t="s">
        <v>112</v>
      </c>
      <c r="BL61" t="s">
        <v>10492</v>
      </c>
      <c r="BM61" t="s">
        <v>74</v>
      </c>
      <c r="BN61">
        <v>14742549</v>
      </c>
      <c r="BO61" t="s">
        <v>74</v>
      </c>
      <c r="BP61" t="s">
        <v>74</v>
      </c>
      <c r="BQ61" t="s">
        <v>74</v>
      </c>
      <c r="BR61" t="s">
        <v>93</v>
      </c>
      <c r="BS61" t="s">
        <v>10493</v>
      </c>
      <c r="BT61" t="str">
        <f>HYPERLINK("https%3A%2F%2Fwww.webofscience.com%2Fwos%2Fwoscc%2Ffull-record%2FWOS:000188766400049","View Full Record in Web of Science")</f>
        <v>View Full Record in Web of Science</v>
      </c>
    </row>
    <row r="62" spans="1:72" x14ac:dyDescent="0.15">
      <c r="A62" t="s">
        <v>72</v>
      </c>
      <c r="B62" t="s">
        <v>9443</v>
      </c>
      <c r="C62" t="s">
        <v>74</v>
      </c>
      <c r="D62" t="s">
        <v>74</v>
      </c>
      <c r="E62" t="s">
        <v>74</v>
      </c>
      <c r="F62" t="s">
        <v>9444</v>
      </c>
      <c r="G62" t="s">
        <v>74</v>
      </c>
      <c r="H62" t="s">
        <v>74</v>
      </c>
      <c r="I62" t="s">
        <v>9445</v>
      </c>
      <c r="J62" t="s">
        <v>2013</v>
      </c>
      <c r="K62" t="s">
        <v>74</v>
      </c>
      <c r="L62" t="s">
        <v>74</v>
      </c>
      <c r="M62" t="s">
        <v>74</v>
      </c>
      <c r="N62" t="s">
        <v>78</v>
      </c>
      <c r="O62" t="s">
        <v>74</v>
      </c>
      <c r="P62" t="s">
        <v>74</v>
      </c>
      <c r="Q62" t="s">
        <v>74</v>
      </c>
      <c r="R62" t="s">
        <v>74</v>
      </c>
      <c r="S62" t="s">
        <v>74</v>
      </c>
      <c r="T62" t="s">
        <v>74</v>
      </c>
      <c r="U62" t="s">
        <v>9446</v>
      </c>
      <c r="V62" t="s">
        <v>9447</v>
      </c>
      <c r="W62" t="s">
        <v>9448</v>
      </c>
      <c r="X62" t="s">
        <v>9449</v>
      </c>
      <c r="Y62" t="s">
        <v>9450</v>
      </c>
      <c r="Z62" t="s">
        <v>9451</v>
      </c>
      <c r="AA62" t="s">
        <v>9452</v>
      </c>
      <c r="AB62" t="s">
        <v>74</v>
      </c>
      <c r="AC62" t="s">
        <v>74</v>
      </c>
      <c r="AD62" t="s">
        <v>74</v>
      </c>
      <c r="AE62" t="s">
        <v>74</v>
      </c>
      <c r="AF62" t="s">
        <v>74</v>
      </c>
      <c r="AG62">
        <v>43</v>
      </c>
      <c r="AH62">
        <v>112</v>
      </c>
      <c r="AI62">
        <v>114</v>
      </c>
      <c r="AJ62">
        <v>37</v>
      </c>
      <c r="AK62">
        <v>444</v>
      </c>
      <c r="AL62" t="s">
        <v>74</v>
      </c>
      <c r="AM62" t="s">
        <v>74</v>
      </c>
      <c r="AN62" t="s">
        <v>74</v>
      </c>
      <c r="AO62" t="s">
        <v>2022</v>
      </c>
      <c r="AP62" t="s">
        <v>2023</v>
      </c>
      <c r="AQ62" t="s">
        <v>74</v>
      </c>
      <c r="AR62" t="s">
        <v>74</v>
      </c>
      <c r="AS62" t="s">
        <v>74</v>
      </c>
      <c r="AT62" t="s">
        <v>417</v>
      </c>
      <c r="AU62">
        <v>2018</v>
      </c>
      <c r="AV62">
        <v>90</v>
      </c>
      <c r="AW62">
        <v>15</v>
      </c>
      <c r="AX62" t="s">
        <v>74</v>
      </c>
      <c r="AY62" t="s">
        <v>74</v>
      </c>
      <c r="AZ62" t="s">
        <v>74</v>
      </c>
      <c r="BA62" t="s">
        <v>74</v>
      </c>
      <c r="BB62">
        <v>8969</v>
      </c>
      <c r="BC62">
        <v>8976</v>
      </c>
      <c r="BD62" t="s">
        <v>74</v>
      </c>
      <c r="BE62" t="s">
        <v>9453</v>
      </c>
      <c r="BF62" t="str">
        <f>HYPERLINK("http://dx.doi.org/10.1021/acs.analchem.8b01143","http://dx.doi.org/10.1021/acs.analchem.8b01143")</f>
        <v>http://dx.doi.org/10.1021/acs.analchem.8b01143</v>
      </c>
      <c r="BG62" t="s">
        <v>74</v>
      </c>
      <c r="BH62" t="s">
        <v>74</v>
      </c>
      <c r="BI62" t="s">
        <v>74</v>
      </c>
      <c r="BJ62" t="s">
        <v>1196</v>
      </c>
      <c r="BK62" t="s">
        <v>112</v>
      </c>
      <c r="BL62" t="s">
        <v>1197</v>
      </c>
      <c r="BM62" t="s">
        <v>74</v>
      </c>
      <c r="BN62">
        <v>29973048</v>
      </c>
      <c r="BO62" t="s">
        <v>74</v>
      </c>
      <c r="BP62" t="s">
        <v>74</v>
      </c>
      <c r="BQ62" t="s">
        <v>74</v>
      </c>
      <c r="BR62" t="s">
        <v>93</v>
      </c>
      <c r="BS62" t="s">
        <v>9454</v>
      </c>
      <c r="BT62" t="str">
        <f>HYPERLINK("https%3A%2F%2Fwww.webofscience.com%2Fwos%2Fwoscc%2Ffull-record%2FWOS:000441476600035","View Full Record in Web of Science")</f>
        <v>View Full Record in Web of Science</v>
      </c>
    </row>
    <row r="63" spans="1:72" x14ac:dyDescent="0.15">
      <c r="A63" t="s">
        <v>72</v>
      </c>
      <c r="B63" t="s">
        <v>1360</v>
      </c>
      <c r="C63" t="s">
        <v>74</v>
      </c>
      <c r="D63" t="s">
        <v>74</v>
      </c>
      <c r="E63" t="s">
        <v>74</v>
      </c>
      <c r="F63" t="s">
        <v>1361</v>
      </c>
      <c r="G63" t="s">
        <v>74</v>
      </c>
      <c r="H63" t="s">
        <v>74</v>
      </c>
      <c r="I63" t="s">
        <v>1362</v>
      </c>
      <c r="J63" t="s">
        <v>1085</v>
      </c>
      <c r="K63" t="s">
        <v>74</v>
      </c>
      <c r="L63" t="s">
        <v>74</v>
      </c>
      <c r="M63" t="s">
        <v>74</v>
      </c>
      <c r="N63" t="s">
        <v>78</v>
      </c>
      <c r="O63" t="s">
        <v>74</v>
      </c>
      <c r="P63" t="s">
        <v>74</v>
      </c>
      <c r="Q63" t="s">
        <v>74</v>
      </c>
      <c r="R63" t="s">
        <v>74</v>
      </c>
      <c r="S63" t="s">
        <v>74</v>
      </c>
      <c r="T63" t="s">
        <v>1363</v>
      </c>
      <c r="U63" t="s">
        <v>1364</v>
      </c>
      <c r="V63" t="s">
        <v>1365</v>
      </c>
      <c r="W63" t="s">
        <v>1366</v>
      </c>
      <c r="X63" t="s">
        <v>1367</v>
      </c>
      <c r="Y63" t="s">
        <v>1368</v>
      </c>
      <c r="Z63" t="s">
        <v>1369</v>
      </c>
      <c r="AA63" t="s">
        <v>1370</v>
      </c>
      <c r="AB63" t="s">
        <v>1371</v>
      </c>
      <c r="AC63" t="s">
        <v>74</v>
      </c>
      <c r="AD63" t="s">
        <v>74</v>
      </c>
      <c r="AE63" t="s">
        <v>74</v>
      </c>
      <c r="AF63" t="s">
        <v>74</v>
      </c>
      <c r="AG63">
        <v>42</v>
      </c>
      <c r="AH63">
        <v>111</v>
      </c>
      <c r="AI63">
        <v>114</v>
      </c>
      <c r="AJ63">
        <v>2</v>
      </c>
      <c r="AK63">
        <v>24</v>
      </c>
      <c r="AL63" t="s">
        <v>74</v>
      </c>
      <c r="AM63" t="s">
        <v>74</v>
      </c>
      <c r="AN63" t="s">
        <v>74</v>
      </c>
      <c r="AO63" t="s">
        <v>1094</v>
      </c>
      <c r="AP63" t="s">
        <v>74</v>
      </c>
      <c r="AQ63" t="s">
        <v>74</v>
      </c>
      <c r="AR63" t="s">
        <v>74</v>
      </c>
      <c r="AS63" t="s">
        <v>74</v>
      </c>
      <c r="AT63" t="s">
        <v>74</v>
      </c>
      <c r="AU63">
        <v>2017</v>
      </c>
      <c r="AV63">
        <v>7</v>
      </c>
      <c r="AW63">
        <v>16</v>
      </c>
      <c r="AX63" t="s">
        <v>74</v>
      </c>
      <c r="AY63" t="s">
        <v>74</v>
      </c>
      <c r="AZ63" t="s">
        <v>74</v>
      </c>
      <c r="BA63" t="s">
        <v>74</v>
      </c>
      <c r="BB63">
        <v>3824</v>
      </c>
      <c r="BC63">
        <v>3841</v>
      </c>
      <c r="BD63" t="s">
        <v>74</v>
      </c>
      <c r="BE63" t="s">
        <v>1372</v>
      </c>
      <c r="BF63" t="str">
        <f>HYPERLINK("http://dx.doi.org/10.7150/thno.19890","http://dx.doi.org/10.7150/thno.19890")</f>
        <v>http://dx.doi.org/10.7150/thno.19890</v>
      </c>
      <c r="BG63" t="s">
        <v>74</v>
      </c>
      <c r="BH63" t="s">
        <v>74</v>
      </c>
      <c r="BI63" t="s">
        <v>74</v>
      </c>
      <c r="BJ63" t="s">
        <v>506</v>
      </c>
      <c r="BK63" t="s">
        <v>112</v>
      </c>
      <c r="BL63" t="s">
        <v>507</v>
      </c>
      <c r="BM63" t="s">
        <v>74</v>
      </c>
      <c r="BN63">
        <v>29109780</v>
      </c>
      <c r="BO63" t="s">
        <v>74</v>
      </c>
      <c r="BP63" t="s">
        <v>74</v>
      </c>
      <c r="BQ63" t="s">
        <v>74</v>
      </c>
      <c r="BR63" t="s">
        <v>93</v>
      </c>
      <c r="BS63" t="s">
        <v>1373</v>
      </c>
      <c r="BT63" t="str">
        <f>HYPERLINK("https%3A%2F%2Fwww.webofscience.com%2Fwos%2Fwoscc%2Ffull-record%2FWOS:000410122600002","View Full Record in Web of Science")</f>
        <v>View Full Record in Web of Science</v>
      </c>
    </row>
    <row r="64" spans="1:72" x14ac:dyDescent="0.15">
      <c r="A64" t="s">
        <v>72</v>
      </c>
      <c r="B64" t="s">
        <v>1812</v>
      </c>
      <c r="C64" t="s">
        <v>74</v>
      </c>
      <c r="D64" t="s">
        <v>74</v>
      </c>
      <c r="E64" t="s">
        <v>74</v>
      </c>
      <c r="F64" t="s">
        <v>1813</v>
      </c>
      <c r="G64" t="s">
        <v>74</v>
      </c>
      <c r="H64" t="s">
        <v>74</v>
      </c>
      <c r="I64" t="s">
        <v>1814</v>
      </c>
      <c r="J64" t="s">
        <v>474</v>
      </c>
      <c r="K64" t="s">
        <v>74</v>
      </c>
      <c r="L64" t="s">
        <v>74</v>
      </c>
      <c r="M64" t="s">
        <v>74</v>
      </c>
      <c r="N64" t="s">
        <v>78</v>
      </c>
      <c r="O64" t="s">
        <v>74</v>
      </c>
      <c r="P64" t="s">
        <v>74</v>
      </c>
      <c r="Q64" t="s">
        <v>74</v>
      </c>
      <c r="R64" t="s">
        <v>74</v>
      </c>
      <c r="S64" t="s">
        <v>74</v>
      </c>
      <c r="T64" t="s">
        <v>1815</v>
      </c>
      <c r="U64" t="s">
        <v>1816</v>
      </c>
      <c r="V64" t="s">
        <v>1817</v>
      </c>
      <c r="W64" t="s">
        <v>1818</v>
      </c>
      <c r="X64" t="s">
        <v>1819</v>
      </c>
      <c r="Y64" t="s">
        <v>1820</v>
      </c>
      <c r="Z64" t="s">
        <v>1821</v>
      </c>
      <c r="AA64" t="s">
        <v>74</v>
      </c>
      <c r="AB64" t="s">
        <v>74</v>
      </c>
      <c r="AC64" t="s">
        <v>74</v>
      </c>
      <c r="AD64" t="s">
        <v>74</v>
      </c>
      <c r="AE64" t="s">
        <v>74</v>
      </c>
      <c r="AF64" t="s">
        <v>74</v>
      </c>
      <c r="AG64">
        <v>37</v>
      </c>
      <c r="AH64">
        <v>107</v>
      </c>
      <c r="AI64">
        <v>117</v>
      </c>
      <c r="AJ64">
        <v>3</v>
      </c>
      <c r="AK64">
        <v>28</v>
      </c>
      <c r="AL64" t="s">
        <v>74</v>
      </c>
      <c r="AM64" t="s">
        <v>74</v>
      </c>
      <c r="AN64" t="s">
        <v>74</v>
      </c>
      <c r="AO64" t="s">
        <v>74</v>
      </c>
      <c r="AP64" t="s">
        <v>484</v>
      </c>
      <c r="AQ64" t="s">
        <v>74</v>
      </c>
      <c r="AR64" t="s">
        <v>74</v>
      </c>
      <c r="AS64" t="s">
        <v>74</v>
      </c>
      <c r="AT64" t="s">
        <v>1822</v>
      </c>
      <c r="AU64">
        <v>2016</v>
      </c>
      <c r="AV64">
        <v>7</v>
      </c>
      <c r="AW64">
        <v>34</v>
      </c>
      <c r="AX64" t="s">
        <v>74</v>
      </c>
      <c r="AY64" t="s">
        <v>74</v>
      </c>
      <c r="AZ64" t="s">
        <v>74</v>
      </c>
      <c r="BA64" t="s">
        <v>74</v>
      </c>
      <c r="BB64">
        <v>54852</v>
      </c>
      <c r="BC64">
        <v>54866</v>
      </c>
      <c r="BD64" t="s">
        <v>74</v>
      </c>
      <c r="BE64" t="s">
        <v>1823</v>
      </c>
      <c r="BF64" t="str">
        <f>HYPERLINK("http://dx.doi.org/10.18632/oncotarget.10243","http://dx.doi.org/10.18632/oncotarget.10243")</f>
        <v>http://dx.doi.org/10.18632/oncotarget.10243</v>
      </c>
      <c r="BG64" t="s">
        <v>74</v>
      </c>
      <c r="BH64" t="s">
        <v>74</v>
      </c>
      <c r="BI64" t="s">
        <v>74</v>
      </c>
      <c r="BJ64" t="s">
        <v>487</v>
      </c>
      <c r="BK64" t="s">
        <v>112</v>
      </c>
      <c r="BL64" t="s">
        <v>487</v>
      </c>
      <c r="BM64" t="s">
        <v>74</v>
      </c>
      <c r="BN64">
        <v>27363026</v>
      </c>
      <c r="BO64" t="s">
        <v>74</v>
      </c>
      <c r="BP64" t="s">
        <v>74</v>
      </c>
      <c r="BQ64" t="s">
        <v>74</v>
      </c>
      <c r="BR64" t="s">
        <v>93</v>
      </c>
      <c r="BS64" t="s">
        <v>1824</v>
      </c>
      <c r="BT64" t="str">
        <f>HYPERLINK("https%3A%2F%2Fwww.webofscience.com%2Fwos%2Fwoscc%2Ffull-record%2FWOS:000385435000062","View Full Record in Web of Science")</f>
        <v>View Full Record in Web of Science</v>
      </c>
    </row>
    <row r="65" spans="1:72" x14ac:dyDescent="0.15">
      <c r="A65" t="s">
        <v>72</v>
      </c>
      <c r="B65" t="s">
        <v>5851</v>
      </c>
      <c r="C65" t="s">
        <v>74</v>
      </c>
      <c r="D65" t="s">
        <v>74</v>
      </c>
      <c r="E65" t="s">
        <v>74</v>
      </c>
      <c r="F65" t="s">
        <v>5852</v>
      </c>
      <c r="G65" t="s">
        <v>74</v>
      </c>
      <c r="H65" t="s">
        <v>74</v>
      </c>
      <c r="I65" t="s">
        <v>5853</v>
      </c>
      <c r="J65" t="s">
        <v>5293</v>
      </c>
      <c r="K65" t="s">
        <v>74</v>
      </c>
      <c r="L65" t="s">
        <v>74</v>
      </c>
      <c r="M65" t="s">
        <v>74</v>
      </c>
      <c r="N65" t="s">
        <v>78</v>
      </c>
      <c r="O65" t="s">
        <v>74</v>
      </c>
      <c r="P65" t="s">
        <v>74</v>
      </c>
      <c r="Q65" t="s">
        <v>74</v>
      </c>
      <c r="R65" t="s">
        <v>74</v>
      </c>
      <c r="S65" t="s">
        <v>74</v>
      </c>
      <c r="T65" t="s">
        <v>74</v>
      </c>
      <c r="U65" t="s">
        <v>5854</v>
      </c>
      <c r="V65" t="s">
        <v>5855</v>
      </c>
      <c r="W65" t="s">
        <v>5856</v>
      </c>
      <c r="X65" t="s">
        <v>5857</v>
      </c>
      <c r="Y65" t="s">
        <v>5858</v>
      </c>
      <c r="Z65" t="s">
        <v>5859</v>
      </c>
      <c r="AA65" t="s">
        <v>5860</v>
      </c>
      <c r="AB65" t="s">
        <v>5861</v>
      </c>
      <c r="AC65" t="s">
        <v>74</v>
      </c>
      <c r="AD65" t="s">
        <v>74</v>
      </c>
      <c r="AE65" t="s">
        <v>74</v>
      </c>
      <c r="AF65" t="s">
        <v>74</v>
      </c>
      <c r="AG65">
        <v>50</v>
      </c>
      <c r="AH65">
        <v>107</v>
      </c>
      <c r="AI65">
        <v>113</v>
      </c>
      <c r="AJ65">
        <v>6</v>
      </c>
      <c r="AK65">
        <v>34</v>
      </c>
      <c r="AL65" t="s">
        <v>74</v>
      </c>
      <c r="AM65" t="s">
        <v>74</v>
      </c>
      <c r="AN65" t="s">
        <v>74</v>
      </c>
      <c r="AO65" t="s">
        <v>5300</v>
      </c>
      <c r="AP65" t="s">
        <v>5301</v>
      </c>
      <c r="AQ65" t="s">
        <v>74</v>
      </c>
      <c r="AR65" t="s">
        <v>74</v>
      </c>
      <c r="AS65" t="s">
        <v>74</v>
      </c>
      <c r="AT65" t="s">
        <v>4656</v>
      </c>
      <c r="AU65">
        <v>2016</v>
      </c>
      <c r="AV65">
        <v>22</v>
      </c>
      <c r="AW65">
        <v>7</v>
      </c>
      <c r="AX65" t="s">
        <v>74</v>
      </c>
      <c r="AY65" t="s">
        <v>74</v>
      </c>
      <c r="AZ65" t="s">
        <v>74</v>
      </c>
      <c r="BA65" t="s">
        <v>74</v>
      </c>
      <c r="BB65">
        <v>1757</v>
      </c>
      <c r="BC65">
        <v>1766</v>
      </c>
      <c r="BD65" t="s">
        <v>74</v>
      </c>
      <c r="BE65" t="s">
        <v>5862</v>
      </c>
      <c r="BF65" t="str">
        <f>HYPERLINK("http://dx.doi.org/10.1158/1078-0432.CCR-15-0654","http://dx.doi.org/10.1158/1078-0432.CCR-15-0654")</f>
        <v>http://dx.doi.org/10.1158/1078-0432.CCR-15-0654</v>
      </c>
      <c r="BG65" t="s">
        <v>74</v>
      </c>
      <c r="BH65" t="s">
        <v>74</v>
      </c>
      <c r="BI65" t="s">
        <v>74</v>
      </c>
      <c r="BJ65" t="s">
        <v>146</v>
      </c>
      <c r="BK65" t="s">
        <v>112</v>
      </c>
      <c r="BL65" t="s">
        <v>146</v>
      </c>
      <c r="BM65" t="s">
        <v>74</v>
      </c>
      <c r="BN65">
        <v>26603257</v>
      </c>
      <c r="BO65" t="s">
        <v>74</v>
      </c>
      <c r="BP65" t="s">
        <v>74</v>
      </c>
      <c r="BQ65" t="s">
        <v>74</v>
      </c>
      <c r="BR65" t="s">
        <v>93</v>
      </c>
      <c r="BS65" t="s">
        <v>5863</v>
      </c>
      <c r="BT65" t="str">
        <f>HYPERLINK("https%3A%2F%2Fwww.webofscience.com%2Fwos%2Fwoscc%2Ffull-record%2FWOS:000373360600023","View Full Record in Web of Science")</f>
        <v>View Full Record in Web of Science</v>
      </c>
    </row>
    <row r="66" spans="1:72" x14ac:dyDescent="0.15">
      <c r="A66" t="s">
        <v>72</v>
      </c>
      <c r="B66" t="s">
        <v>6923</v>
      </c>
      <c r="C66" t="s">
        <v>74</v>
      </c>
      <c r="D66" t="s">
        <v>74</v>
      </c>
      <c r="E66" t="s">
        <v>74</v>
      </c>
      <c r="F66" t="s">
        <v>6924</v>
      </c>
      <c r="G66" t="s">
        <v>74</v>
      </c>
      <c r="H66" t="s">
        <v>74</v>
      </c>
      <c r="I66" t="s">
        <v>6925</v>
      </c>
      <c r="J66" t="s">
        <v>6005</v>
      </c>
      <c r="K66" t="s">
        <v>74</v>
      </c>
      <c r="L66" t="s">
        <v>74</v>
      </c>
      <c r="M66" t="s">
        <v>74</v>
      </c>
      <c r="N66" t="s">
        <v>78</v>
      </c>
      <c r="O66" t="s">
        <v>74</v>
      </c>
      <c r="P66" t="s">
        <v>74</v>
      </c>
      <c r="Q66" t="s">
        <v>74</v>
      </c>
      <c r="R66" t="s">
        <v>74</v>
      </c>
      <c r="S66" t="s">
        <v>74</v>
      </c>
      <c r="T66" t="s">
        <v>74</v>
      </c>
      <c r="U66" t="s">
        <v>6926</v>
      </c>
      <c r="V66" t="s">
        <v>6927</v>
      </c>
      <c r="W66" t="s">
        <v>6928</v>
      </c>
      <c r="X66" t="s">
        <v>6929</v>
      </c>
      <c r="Y66" t="s">
        <v>6930</v>
      </c>
      <c r="Z66" t="s">
        <v>6931</v>
      </c>
      <c r="AA66" t="s">
        <v>6932</v>
      </c>
      <c r="AB66" t="s">
        <v>6933</v>
      </c>
      <c r="AC66" t="s">
        <v>74</v>
      </c>
      <c r="AD66" t="s">
        <v>74</v>
      </c>
      <c r="AE66" t="s">
        <v>74</v>
      </c>
      <c r="AF66" t="s">
        <v>74</v>
      </c>
      <c r="AG66">
        <v>114</v>
      </c>
      <c r="AH66">
        <v>107</v>
      </c>
      <c r="AI66">
        <v>112</v>
      </c>
      <c r="AJ66">
        <v>0</v>
      </c>
      <c r="AK66">
        <v>19</v>
      </c>
      <c r="AL66" t="s">
        <v>74</v>
      </c>
      <c r="AM66" t="s">
        <v>74</v>
      </c>
      <c r="AN66" t="s">
        <v>74</v>
      </c>
      <c r="AO66" t="s">
        <v>6014</v>
      </c>
      <c r="AP66" t="s">
        <v>6015</v>
      </c>
      <c r="AQ66" t="s">
        <v>74</v>
      </c>
      <c r="AR66" t="s">
        <v>74</v>
      </c>
      <c r="AS66" t="s">
        <v>74</v>
      </c>
      <c r="AT66" t="s">
        <v>503</v>
      </c>
      <c r="AU66">
        <v>2013</v>
      </c>
      <c r="AV66">
        <v>9</v>
      </c>
      <c r="AW66">
        <v>7</v>
      </c>
      <c r="AX66" t="s">
        <v>74</v>
      </c>
      <c r="AY66" t="s">
        <v>74</v>
      </c>
      <c r="AZ66" t="s">
        <v>74</v>
      </c>
      <c r="BA66" t="s">
        <v>74</v>
      </c>
      <c r="BB66" t="s">
        <v>74</v>
      </c>
      <c r="BC66" t="s">
        <v>74</v>
      </c>
      <c r="BD66" t="s">
        <v>6934</v>
      </c>
      <c r="BE66" t="s">
        <v>6935</v>
      </c>
      <c r="BF66" t="str">
        <f>HYPERLINK("http://dx.doi.org/10.1371/journal.ppat.1003484","http://dx.doi.org/10.1371/journal.ppat.1003484")</f>
        <v>http://dx.doi.org/10.1371/journal.ppat.1003484</v>
      </c>
      <c r="BG66" t="s">
        <v>74</v>
      </c>
      <c r="BH66" t="s">
        <v>74</v>
      </c>
      <c r="BI66" t="s">
        <v>74</v>
      </c>
      <c r="BJ66" t="s">
        <v>6018</v>
      </c>
      <c r="BK66" t="s">
        <v>112</v>
      </c>
      <c r="BL66" t="s">
        <v>6018</v>
      </c>
      <c r="BM66" t="s">
        <v>74</v>
      </c>
      <c r="BN66">
        <v>23874201</v>
      </c>
      <c r="BO66" t="s">
        <v>74</v>
      </c>
      <c r="BP66" t="s">
        <v>74</v>
      </c>
      <c r="BQ66" t="s">
        <v>74</v>
      </c>
      <c r="BR66" t="s">
        <v>93</v>
      </c>
      <c r="BS66" t="s">
        <v>6936</v>
      </c>
      <c r="BT66" t="str">
        <f>HYPERLINK("https%3A%2F%2Fwww.webofscience.com%2Fwos%2Fwoscc%2Ffull-record%2FWOS:000322316700031","View Full Record in Web of Science")</f>
        <v>View Full Record in Web of Science</v>
      </c>
    </row>
    <row r="67" spans="1:72" x14ac:dyDescent="0.15">
      <c r="A67" t="s">
        <v>72</v>
      </c>
      <c r="B67" t="s">
        <v>8111</v>
      </c>
      <c r="C67" t="s">
        <v>74</v>
      </c>
      <c r="D67" t="s">
        <v>74</v>
      </c>
      <c r="E67" t="s">
        <v>74</v>
      </c>
      <c r="F67" t="s">
        <v>8112</v>
      </c>
      <c r="G67" t="s">
        <v>74</v>
      </c>
      <c r="H67" t="s">
        <v>74</v>
      </c>
      <c r="I67" t="s">
        <v>8113</v>
      </c>
      <c r="J67" t="s">
        <v>992</v>
      </c>
      <c r="K67" t="s">
        <v>74</v>
      </c>
      <c r="L67" t="s">
        <v>74</v>
      </c>
      <c r="M67" t="s">
        <v>74</v>
      </c>
      <c r="N67" t="s">
        <v>78</v>
      </c>
      <c r="O67" t="s">
        <v>74</v>
      </c>
      <c r="P67" t="s">
        <v>74</v>
      </c>
      <c r="Q67" t="s">
        <v>74</v>
      </c>
      <c r="R67" t="s">
        <v>74</v>
      </c>
      <c r="S67" t="s">
        <v>74</v>
      </c>
      <c r="T67" t="s">
        <v>8114</v>
      </c>
      <c r="U67" t="s">
        <v>8115</v>
      </c>
      <c r="V67" t="s">
        <v>8116</v>
      </c>
      <c r="W67" t="s">
        <v>8117</v>
      </c>
      <c r="X67" t="s">
        <v>8118</v>
      </c>
      <c r="Y67" t="s">
        <v>8119</v>
      </c>
      <c r="Z67" t="s">
        <v>8120</v>
      </c>
      <c r="AA67" t="s">
        <v>8121</v>
      </c>
      <c r="AB67" t="s">
        <v>74</v>
      </c>
      <c r="AC67" t="s">
        <v>74</v>
      </c>
      <c r="AD67" t="s">
        <v>74</v>
      </c>
      <c r="AE67" t="s">
        <v>74</v>
      </c>
      <c r="AF67" t="s">
        <v>74</v>
      </c>
      <c r="AG67">
        <v>42</v>
      </c>
      <c r="AH67">
        <v>106</v>
      </c>
      <c r="AI67">
        <v>108</v>
      </c>
      <c r="AJ67">
        <v>38</v>
      </c>
      <c r="AK67">
        <v>519</v>
      </c>
      <c r="AL67" t="s">
        <v>74</v>
      </c>
      <c r="AM67" t="s">
        <v>74</v>
      </c>
      <c r="AN67" t="s">
        <v>74</v>
      </c>
      <c r="AO67" t="s">
        <v>1001</v>
      </c>
      <c r="AP67" t="s">
        <v>1002</v>
      </c>
      <c r="AQ67" t="s">
        <v>74</v>
      </c>
      <c r="AR67" t="s">
        <v>74</v>
      </c>
      <c r="AS67" t="s">
        <v>74</v>
      </c>
      <c r="AT67" t="s">
        <v>4471</v>
      </c>
      <c r="AU67">
        <v>2018</v>
      </c>
      <c r="AV67">
        <v>102</v>
      </c>
      <c r="AW67" t="s">
        <v>74</v>
      </c>
      <c r="AX67" t="s">
        <v>74</v>
      </c>
      <c r="AY67" t="s">
        <v>74</v>
      </c>
      <c r="AZ67" t="s">
        <v>74</v>
      </c>
      <c r="BA67" t="s">
        <v>74</v>
      </c>
      <c r="BB67">
        <v>33</v>
      </c>
      <c r="BC67">
        <v>40</v>
      </c>
      <c r="BD67" t="s">
        <v>74</v>
      </c>
      <c r="BE67" t="s">
        <v>8122</v>
      </c>
      <c r="BF67" t="str">
        <f>HYPERLINK("http://dx.doi.org/10.1016/j.bios.2017.10.050","http://dx.doi.org/10.1016/j.bios.2017.10.050")</f>
        <v>http://dx.doi.org/10.1016/j.bios.2017.10.050</v>
      </c>
      <c r="BG67" t="s">
        <v>74</v>
      </c>
      <c r="BH67" t="s">
        <v>74</v>
      </c>
      <c r="BI67" t="s">
        <v>74</v>
      </c>
      <c r="BJ67" t="s">
        <v>1006</v>
      </c>
      <c r="BK67" t="s">
        <v>112</v>
      </c>
      <c r="BL67" t="s">
        <v>1007</v>
      </c>
      <c r="BM67" t="s">
        <v>74</v>
      </c>
      <c r="BN67">
        <v>29121557</v>
      </c>
      <c r="BO67" t="s">
        <v>74</v>
      </c>
      <c r="BP67" t="s">
        <v>74</v>
      </c>
      <c r="BQ67" t="s">
        <v>74</v>
      </c>
      <c r="BR67" t="s">
        <v>93</v>
      </c>
      <c r="BS67" t="s">
        <v>8123</v>
      </c>
      <c r="BT67" t="str">
        <f>HYPERLINK("https%3A%2F%2Fwww.webofscience.com%2Fwos%2Fwoscc%2Ffull-record%2FWOS:000424176600005","View Full Record in Web of Science")</f>
        <v>View Full Record in Web of Science</v>
      </c>
    </row>
    <row r="68" spans="1:72" x14ac:dyDescent="0.15">
      <c r="A68" t="s">
        <v>72</v>
      </c>
      <c r="B68" t="s">
        <v>1977</v>
      </c>
      <c r="C68" t="s">
        <v>74</v>
      </c>
      <c r="D68" t="s">
        <v>74</v>
      </c>
      <c r="E68" t="s">
        <v>74</v>
      </c>
      <c r="F68" t="s">
        <v>1978</v>
      </c>
      <c r="G68" t="s">
        <v>74</v>
      </c>
      <c r="H68" t="s">
        <v>74</v>
      </c>
      <c r="I68" t="s">
        <v>1979</v>
      </c>
      <c r="J68" t="s">
        <v>1980</v>
      </c>
      <c r="K68" t="s">
        <v>74</v>
      </c>
      <c r="L68" t="s">
        <v>74</v>
      </c>
      <c r="M68" t="s">
        <v>74</v>
      </c>
      <c r="N68" t="s">
        <v>78</v>
      </c>
      <c r="O68" t="s">
        <v>74</v>
      </c>
      <c r="P68" t="s">
        <v>74</v>
      </c>
      <c r="Q68" t="s">
        <v>74</v>
      </c>
      <c r="R68" t="s">
        <v>74</v>
      </c>
      <c r="S68" t="s">
        <v>74</v>
      </c>
      <c r="T68" t="s">
        <v>1981</v>
      </c>
      <c r="U68" t="s">
        <v>1982</v>
      </c>
      <c r="V68" t="s">
        <v>1983</v>
      </c>
      <c r="W68" t="s">
        <v>1984</v>
      </c>
      <c r="X68" t="s">
        <v>1985</v>
      </c>
      <c r="Y68" t="s">
        <v>1986</v>
      </c>
      <c r="Z68" t="s">
        <v>1987</v>
      </c>
      <c r="AA68" t="s">
        <v>1988</v>
      </c>
      <c r="AB68" t="s">
        <v>1989</v>
      </c>
      <c r="AC68" t="s">
        <v>74</v>
      </c>
      <c r="AD68" t="s">
        <v>74</v>
      </c>
      <c r="AE68" t="s">
        <v>74</v>
      </c>
      <c r="AF68" t="s">
        <v>74</v>
      </c>
      <c r="AG68">
        <v>21</v>
      </c>
      <c r="AH68">
        <v>103</v>
      </c>
      <c r="AI68">
        <v>106</v>
      </c>
      <c r="AJ68">
        <v>3</v>
      </c>
      <c r="AK68">
        <v>17</v>
      </c>
      <c r="AL68" t="s">
        <v>74</v>
      </c>
      <c r="AM68" t="s">
        <v>74</v>
      </c>
      <c r="AN68" t="s">
        <v>74</v>
      </c>
      <c r="AO68" t="s">
        <v>1990</v>
      </c>
      <c r="AP68" t="s">
        <v>1991</v>
      </c>
      <c r="AQ68" t="s">
        <v>74</v>
      </c>
      <c r="AR68" t="s">
        <v>74</v>
      </c>
      <c r="AS68" t="s">
        <v>74</v>
      </c>
      <c r="AT68" t="s">
        <v>236</v>
      </c>
      <c r="AU68">
        <v>2017</v>
      </c>
      <c r="AV68">
        <v>19</v>
      </c>
      <c r="AW68">
        <v>11</v>
      </c>
      <c r="AX68" t="s">
        <v>74</v>
      </c>
      <c r="AY68" t="s">
        <v>74</v>
      </c>
      <c r="AZ68" t="s">
        <v>74</v>
      </c>
      <c r="BA68" t="s">
        <v>74</v>
      </c>
      <c r="BB68">
        <v>1494</v>
      </c>
      <c r="BC68">
        <v>1502</v>
      </c>
      <c r="BD68" t="s">
        <v>74</v>
      </c>
      <c r="BE68" t="s">
        <v>1992</v>
      </c>
      <c r="BF68" t="str">
        <f>HYPERLINK("http://dx.doi.org/10.1093/neuonc/nox085","http://dx.doi.org/10.1093/neuonc/nox085")</f>
        <v>http://dx.doi.org/10.1093/neuonc/nox085</v>
      </c>
      <c r="BG68" t="s">
        <v>74</v>
      </c>
      <c r="BH68" t="s">
        <v>74</v>
      </c>
      <c r="BI68" t="s">
        <v>74</v>
      </c>
      <c r="BJ68" t="s">
        <v>1993</v>
      </c>
      <c r="BK68" t="s">
        <v>112</v>
      </c>
      <c r="BL68" t="s">
        <v>1994</v>
      </c>
      <c r="BM68" t="s">
        <v>74</v>
      </c>
      <c r="BN68">
        <v>28453784</v>
      </c>
      <c r="BO68" t="s">
        <v>74</v>
      </c>
      <c r="BP68" t="s">
        <v>74</v>
      </c>
      <c r="BQ68" t="s">
        <v>74</v>
      </c>
      <c r="BR68" t="s">
        <v>93</v>
      </c>
      <c r="BS68" t="s">
        <v>1995</v>
      </c>
      <c r="BT68" t="str">
        <f>HYPERLINK("https%3A%2F%2Fwww.webofscience.com%2Fwos%2Fwoscc%2Ffull-record%2FWOS:000413219400010","View Full Record in Web of Science")</f>
        <v>View Full Record in Web of Science</v>
      </c>
    </row>
    <row r="69" spans="1:72" x14ac:dyDescent="0.15">
      <c r="A69" t="s">
        <v>72</v>
      </c>
      <c r="B69" t="s">
        <v>4933</v>
      </c>
      <c r="C69" t="s">
        <v>74</v>
      </c>
      <c r="D69" t="s">
        <v>74</v>
      </c>
      <c r="E69" t="s">
        <v>74</v>
      </c>
      <c r="F69" t="s">
        <v>4934</v>
      </c>
      <c r="G69" t="s">
        <v>74</v>
      </c>
      <c r="H69" t="s">
        <v>74</v>
      </c>
      <c r="I69" t="s">
        <v>4935</v>
      </c>
      <c r="J69" t="s">
        <v>929</v>
      </c>
      <c r="K69" t="s">
        <v>74</v>
      </c>
      <c r="L69" t="s">
        <v>74</v>
      </c>
      <c r="M69" t="s">
        <v>74</v>
      </c>
      <c r="N69" t="s">
        <v>78</v>
      </c>
      <c r="O69" t="s">
        <v>74</v>
      </c>
      <c r="P69" t="s">
        <v>74</v>
      </c>
      <c r="Q69" t="s">
        <v>74</v>
      </c>
      <c r="R69" t="s">
        <v>74</v>
      </c>
      <c r="S69" t="s">
        <v>74</v>
      </c>
      <c r="T69" t="s">
        <v>74</v>
      </c>
      <c r="U69" t="s">
        <v>4936</v>
      </c>
      <c r="V69" t="s">
        <v>4937</v>
      </c>
      <c r="W69" t="s">
        <v>4938</v>
      </c>
      <c r="X69" t="s">
        <v>4939</v>
      </c>
      <c r="Y69" t="s">
        <v>4940</v>
      </c>
      <c r="Z69" t="s">
        <v>4941</v>
      </c>
      <c r="AA69" t="s">
        <v>4942</v>
      </c>
      <c r="AB69" t="s">
        <v>4943</v>
      </c>
      <c r="AC69" t="s">
        <v>74</v>
      </c>
      <c r="AD69" t="s">
        <v>74</v>
      </c>
      <c r="AE69" t="s">
        <v>74</v>
      </c>
      <c r="AF69" t="s">
        <v>74</v>
      </c>
      <c r="AG69">
        <v>134</v>
      </c>
      <c r="AH69">
        <v>102</v>
      </c>
      <c r="AI69">
        <v>108</v>
      </c>
      <c r="AJ69">
        <v>0</v>
      </c>
      <c r="AK69">
        <v>19</v>
      </c>
      <c r="AL69" t="s">
        <v>74</v>
      </c>
      <c r="AM69" t="s">
        <v>74</v>
      </c>
      <c r="AN69" t="s">
        <v>74</v>
      </c>
      <c r="AO69" t="s">
        <v>74</v>
      </c>
      <c r="AP69" t="s">
        <v>940</v>
      </c>
      <c r="AQ69" t="s">
        <v>74</v>
      </c>
      <c r="AR69" t="s">
        <v>74</v>
      </c>
      <c r="AS69" t="s">
        <v>74</v>
      </c>
      <c r="AT69" t="s">
        <v>4944</v>
      </c>
      <c r="AU69">
        <v>2014</v>
      </c>
      <c r="AV69">
        <v>289</v>
      </c>
      <c r="AW69">
        <v>32</v>
      </c>
      <c r="AX69" t="s">
        <v>74</v>
      </c>
      <c r="AY69" t="s">
        <v>74</v>
      </c>
      <c r="AZ69" t="s">
        <v>74</v>
      </c>
      <c r="BA69" t="s">
        <v>74</v>
      </c>
      <c r="BB69">
        <v>22284</v>
      </c>
      <c r="BC69">
        <v>22305</v>
      </c>
      <c r="BD69" t="s">
        <v>74</v>
      </c>
      <c r="BE69" t="s">
        <v>4945</v>
      </c>
      <c r="BF69" t="str">
        <f>HYPERLINK("http://dx.doi.org/10.1074/jbc.M114.549659","http://dx.doi.org/10.1074/jbc.M114.549659")</f>
        <v>http://dx.doi.org/10.1074/jbc.M114.549659</v>
      </c>
      <c r="BG69" t="s">
        <v>74</v>
      </c>
      <c r="BH69" t="s">
        <v>74</v>
      </c>
      <c r="BI69" t="s">
        <v>74</v>
      </c>
      <c r="BJ69" t="s">
        <v>92</v>
      </c>
      <c r="BK69" t="s">
        <v>112</v>
      </c>
      <c r="BL69" t="s">
        <v>92</v>
      </c>
      <c r="BM69" t="s">
        <v>74</v>
      </c>
      <c r="BN69">
        <v>24939845</v>
      </c>
      <c r="BO69" t="s">
        <v>74</v>
      </c>
      <c r="BP69" t="s">
        <v>74</v>
      </c>
      <c r="BQ69" t="s">
        <v>74</v>
      </c>
      <c r="BR69" t="s">
        <v>93</v>
      </c>
      <c r="BS69" t="s">
        <v>4946</v>
      </c>
      <c r="BT69" t="str">
        <f>HYPERLINK("https%3A%2F%2Fwww.webofscience.com%2Fwos%2Fwoscc%2Ffull-record%2FWOS:000340593500041","View Full Record in Web of Science")</f>
        <v>View Full Record in Web of Science</v>
      </c>
    </row>
    <row r="70" spans="1:72" x14ac:dyDescent="0.15">
      <c r="A70" t="s">
        <v>72</v>
      </c>
      <c r="B70" t="s">
        <v>9369</v>
      </c>
      <c r="C70" t="s">
        <v>74</v>
      </c>
      <c r="D70" t="s">
        <v>74</v>
      </c>
      <c r="E70" t="s">
        <v>74</v>
      </c>
      <c r="F70" t="s">
        <v>9370</v>
      </c>
      <c r="G70" t="s">
        <v>74</v>
      </c>
      <c r="H70" t="s">
        <v>74</v>
      </c>
      <c r="I70" t="s">
        <v>9371</v>
      </c>
      <c r="J70" t="s">
        <v>9372</v>
      </c>
      <c r="K70" t="s">
        <v>74</v>
      </c>
      <c r="L70" t="s">
        <v>74</v>
      </c>
      <c r="M70" t="s">
        <v>74</v>
      </c>
      <c r="N70" t="s">
        <v>78</v>
      </c>
      <c r="O70" t="s">
        <v>74</v>
      </c>
      <c r="P70" t="s">
        <v>74</v>
      </c>
      <c r="Q70" t="s">
        <v>74</v>
      </c>
      <c r="R70" t="s">
        <v>74</v>
      </c>
      <c r="S70" t="s">
        <v>74</v>
      </c>
      <c r="T70" t="s">
        <v>74</v>
      </c>
      <c r="U70" t="s">
        <v>9373</v>
      </c>
      <c r="V70" t="s">
        <v>9374</v>
      </c>
      <c r="W70" t="s">
        <v>9375</v>
      </c>
      <c r="X70" t="s">
        <v>9376</v>
      </c>
      <c r="Y70" t="s">
        <v>9377</v>
      </c>
      <c r="Z70" t="s">
        <v>9378</v>
      </c>
      <c r="AA70" t="s">
        <v>9379</v>
      </c>
      <c r="AB70" t="s">
        <v>9380</v>
      </c>
      <c r="AC70" t="s">
        <v>74</v>
      </c>
      <c r="AD70" t="s">
        <v>74</v>
      </c>
      <c r="AE70" t="s">
        <v>74</v>
      </c>
      <c r="AF70" t="s">
        <v>74</v>
      </c>
      <c r="AG70">
        <v>42</v>
      </c>
      <c r="AH70">
        <v>100</v>
      </c>
      <c r="AI70">
        <v>101</v>
      </c>
      <c r="AJ70">
        <v>0</v>
      </c>
      <c r="AK70">
        <v>7</v>
      </c>
      <c r="AL70" t="s">
        <v>74</v>
      </c>
      <c r="AM70" t="s">
        <v>74</v>
      </c>
      <c r="AN70" t="s">
        <v>74</v>
      </c>
      <c r="AO70" t="s">
        <v>9381</v>
      </c>
      <c r="AP70" t="s">
        <v>74</v>
      </c>
      <c r="AQ70" t="s">
        <v>74</v>
      </c>
      <c r="AR70" t="s">
        <v>74</v>
      </c>
      <c r="AS70" t="s">
        <v>74</v>
      </c>
      <c r="AT70" t="s">
        <v>88</v>
      </c>
      <c r="AU70">
        <v>2017</v>
      </c>
      <c r="AV70">
        <v>15</v>
      </c>
      <c r="AW70">
        <v>6</v>
      </c>
      <c r="AX70" t="s">
        <v>74</v>
      </c>
      <c r="AY70" t="s">
        <v>74</v>
      </c>
      <c r="AZ70" t="s">
        <v>74</v>
      </c>
      <c r="BA70" t="s">
        <v>74</v>
      </c>
      <c r="BB70" t="s">
        <v>74</v>
      </c>
      <c r="BC70" t="s">
        <v>74</v>
      </c>
      <c r="BD70" t="s">
        <v>9382</v>
      </c>
      <c r="BE70" t="s">
        <v>9383</v>
      </c>
      <c r="BF70" t="str">
        <f>HYPERLINK("http://dx.doi.org/10.1371/journal.pbio.2002711","http://dx.doi.org/10.1371/journal.pbio.2002711")</f>
        <v>http://dx.doi.org/10.1371/journal.pbio.2002711</v>
      </c>
      <c r="BG70" t="s">
        <v>74</v>
      </c>
      <c r="BH70" t="s">
        <v>74</v>
      </c>
      <c r="BI70" t="s">
        <v>74</v>
      </c>
      <c r="BJ70" t="s">
        <v>9384</v>
      </c>
      <c r="BK70" t="s">
        <v>112</v>
      </c>
      <c r="BL70" t="s">
        <v>9385</v>
      </c>
      <c r="BM70" t="s">
        <v>74</v>
      </c>
      <c r="BN70">
        <v>28650960</v>
      </c>
      <c r="BO70" t="s">
        <v>74</v>
      </c>
      <c r="BP70" t="s">
        <v>74</v>
      </c>
      <c r="BQ70" t="s">
        <v>74</v>
      </c>
      <c r="BR70" t="s">
        <v>93</v>
      </c>
      <c r="BS70" t="s">
        <v>9386</v>
      </c>
      <c r="BT70" t="str">
        <f>HYPERLINK("https%3A%2F%2Fwww.webofscience.com%2Fwos%2Fwoscc%2Ffull-record%2FWOS:000404510400023","View Full Record in Web of Science")</f>
        <v>View Full Record in Web of Science</v>
      </c>
    </row>
    <row r="71" spans="1:72" x14ac:dyDescent="0.15">
      <c r="A71" t="s">
        <v>72</v>
      </c>
      <c r="B71" t="s">
        <v>9326</v>
      </c>
      <c r="C71" t="s">
        <v>74</v>
      </c>
      <c r="D71" t="s">
        <v>74</v>
      </c>
      <c r="E71" t="s">
        <v>74</v>
      </c>
      <c r="F71" t="s">
        <v>9327</v>
      </c>
      <c r="G71" t="s">
        <v>74</v>
      </c>
      <c r="H71" t="s">
        <v>74</v>
      </c>
      <c r="I71" t="s">
        <v>9328</v>
      </c>
      <c r="J71" t="s">
        <v>9329</v>
      </c>
      <c r="K71" t="s">
        <v>74</v>
      </c>
      <c r="L71" t="s">
        <v>74</v>
      </c>
      <c r="M71" t="s">
        <v>74</v>
      </c>
      <c r="N71" t="s">
        <v>78</v>
      </c>
      <c r="O71" t="s">
        <v>74</v>
      </c>
      <c r="P71" t="s">
        <v>74</v>
      </c>
      <c r="Q71" t="s">
        <v>74</v>
      </c>
      <c r="R71" t="s">
        <v>74</v>
      </c>
      <c r="S71" t="s">
        <v>74</v>
      </c>
      <c r="T71" t="s">
        <v>9330</v>
      </c>
      <c r="U71" t="s">
        <v>9331</v>
      </c>
      <c r="V71" t="s">
        <v>9332</v>
      </c>
      <c r="W71" t="s">
        <v>9333</v>
      </c>
      <c r="X71" t="s">
        <v>9334</v>
      </c>
      <c r="Y71" t="s">
        <v>9335</v>
      </c>
      <c r="Z71" t="s">
        <v>8673</v>
      </c>
      <c r="AA71" t="s">
        <v>74</v>
      </c>
      <c r="AB71" t="s">
        <v>9336</v>
      </c>
      <c r="AC71" t="s">
        <v>74</v>
      </c>
      <c r="AD71" t="s">
        <v>74</v>
      </c>
      <c r="AE71" t="s">
        <v>74</v>
      </c>
      <c r="AF71" t="s">
        <v>74</v>
      </c>
      <c r="AG71">
        <v>73</v>
      </c>
      <c r="AH71">
        <v>97</v>
      </c>
      <c r="AI71">
        <v>103</v>
      </c>
      <c r="AJ71">
        <v>3</v>
      </c>
      <c r="AK71">
        <v>47</v>
      </c>
      <c r="AL71" t="s">
        <v>74</v>
      </c>
      <c r="AM71" t="s">
        <v>74</v>
      </c>
      <c r="AN71" t="s">
        <v>74</v>
      </c>
      <c r="AO71" t="s">
        <v>9337</v>
      </c>
      <c r="AP71" t="s">
        <v>74</v>
      </c>
      <c r="AQ71" t="s">
        <v>74</v>
      </c>
      <c r="AR71" t="s">
        <v>74</v>
      </c>
      <c r="AS71" t="s">
        <v>74</v>
      </c>
      <c r="AT71" t="s">
        <v>129</v>
      </c>
      <c r="AU71">
        <v>2014</v>
      </c>
      <c r="AV71">
        <v>111</v>
      </c>
      <c r="AW71">
        <v>4</v>
      </c>
      <c r="AX71" t="s">
        <v>74</v>
      </c>
      <c r="AY71" t="s">
        <v>74</v>
      </c>
      <c r="AZ71" t="s">
        <v>74</v>
      </c>
      <c r="BA71" t="s">
        <v>74</v>
      </c>
      <c r="BB71">
        <v>570</v>
      </c>
      <c r="BC71">
        <v>574</v>
      </c>
      <c r="BD71" t="s">
        <v>74</v>
      </c>
      <c r="BE71" t="s">
        <v>9338</v>
      </c>
      <c r="BF71" t="str">
        <f>HYPERLINK("http://dx.doi.org/10.1160/TH13-10-0812","http://dx.doi.org/10.1160/TH13-10-0812")</f>
        <v>http://dx.doi.org/10.1160/TH13-10-0812</v>
      </c>
      <c r="BG71" t="s">
        <v>74</v>
      </c>
      <c r="BH71" t="s">
        <v>74</v>
      </c>
      <c r="BI71" t="s">
        <v>74</v>
      </c>
      <c r="BJ71" t="s">
        <v>1635</v>
      </c>
      <c r="BK71" t="s">
        <v>112</v>
      </c>
      <c r="BL71" t="s">
        <v>1636</v>
      </c>
      <c r="BM71" t="s">
        <v>74</v>
      </c>
      <c r="BN71">
        <v>24573314</v>
      </c>
      <c r="BO71" t="s">
        <v>74</v>
      </c>
      <c r="BP71" t="s">
        <v>74</v>
      </c>
      <c r="BQ71" t="s">
        <v>74</v>
      </c>
      <c r="BR71" t="s">
        <v>93</v>
      </c>
      <c r="BS71" t="s">
        <v>9339</v>
      </c>
      <c r="BT71" t="str">
        <f>HYPERLINK("https%3A%2F%2Fwww.webofscience.com%2Fwos%2Fwoscc%2Ffull-record%2FWOS:000334152900004","View Full Record in Web of Science")</f>
        <v>View Full Record in Web of Science</v>
      </c>
    </row>
    <row r="72" spans="1:72" x14ac:dyDescent="0.15">
      <c r="A72" t="s">
        <v>72</v>
      </c>
      <c r="B72" t="s">
        <v>3732</v>
      </c>
      <c r="C72" t="s">
        <v>74</v>
      </c>
      <c r="D72" t="s">
        <v>74</v>
      </c>
      <c r="E72" t="s">
        <v>74</v>
      </c>
      <c r="F72" t="s">
        <v>3733</v>
      </c>
      <c r="G72" t="s">
        <v>74</v>
      </c>
      <c r="H72" t="s">
        <v>74</v>
      </c>
      <c r="I72" t="s">
        <v>3734</v>
      </c>
      <c r="J72" t="s">
        <v>3735</v>
      </c>
      <c r="K72" t="s">
        <v>74</v>
      </c>
      <c r="L72" t="s">
        <v>74</v>
      </c>
      <c r="M72" t="s">
        <v>74</v>
      </c>
      <c r="N72" t="s">
        <v>78</v>
      </c>
      <c r="O72" t="s">
        <v>74</v>
      </c>
      <c r="P72" t="s">
        <v>74</v>
      </c>
      <c r="Q72" t="s">
        <v>74</v>
      </c>
      <c r="R72" t="s">
        <v>74</v>
      </c>
      <c r="S72" t="s">
        <v>74</v>
      </c>
      <c r="T72" t="s">
        <v>3736</v>
      </c>
      <c r="U72" t="s">
        <v>3737</v>
      </c>
      <c r="V72" t="s">
        <v>3738</v>
      </c>
      <c r="W72" t="s">
        <v>3739</v>
      </c>
      <c r="X72" t="s">
        <v>3740</v>
      </c>
      <c r="Y72" t="s">
        <v>3741</v>
      </c>
      <c r="Z72" t="s">
        <v>3742</v>
      </c>
      <c r="AA72" t="s">
        <v>74</v>
      </c>
      <c r="AB72" t="s">
        <v>3743</v>
      </c>
      <c r="AC72" t="s">
        <v>74</v>
      </c>
      <c r="AD72" t="s">
        <v>74</v>
      </c>
      <c r="AE72" t="s">
        <v>74</v>
      </c>
      <c r="AF72" t="s">
        <v>74</v>
      </c>
      <c r="AG72">
        <v>52</v>
      </c>
      <c r="AH72">
        <v>95</v>
      </c>
      <c r="AI72">
        <v>101</v>
      </c>
      <c r="AJ72">
        <v>0</v>
      </c>
      <c r="AK72">
        <v>39</v>
      </c>
      <c r="AL72" t="s">
        <v>74</v>
      </c>
      <c r="AM72" t="s">
        <v>74</v>
      </c>
      <c r="AN72" t="s">
        <v>74</v>
      </c>
      <c r="AO72" t="s">
        <v>3744</v>
      </c>
      <c r="AP72" t="s">
        <v>3745</v>
      </c>
      <c r="AQ72" t="s">
        <v>74</v>
      </c>
      <c r="AR72" t="s">
        <v>74</v>
      </c>
      <c r="AS72" t="s">
        <v>74</v>
      </c>
      <c r="AT72" t="s">
        <v>640</v>
      </c>
      <c r="AU72">
        <v>2015</v>
      </c>
      <c r="AV72">
        <v>772</v>
      </c>
      <c r="AW72" t="s">
        <v>74</v>
      </c>
      <c r="AX72" t="s">
        <v>74</v>
      </c>
      <c r="AY72" t="s">
        <v>74</v>
      </c>
      <c r="AZ72" t="s">
        <v>74</v>
      </c>
      <c r="BA72" t="s">
        <v>74</v>
      </c>
      <c r="BB72">
        <v>38</v>
      </c>
      <c r="BC72">
        <v>45</v>
      </c>
      <c r="BD72" t="s">
        <v>74</v>
      </c>
      <c r="BE72" t="s">
        <v>3746</v>
      </c>
      <c r="BF72" t="str">
        <f>HYPERLINK("http://dx.doi.org/10.1016/j.mrfmmm.2014.12.007","http://dx.doi.org/10.1016/j.mrfmmm.2014.12.007")</f>
        <v>http://dx.doi.org/10.1016/j.mrfmmm.2014.12.007</v>
      </c>
      <c r="BG72" t="s">
        <v>74</v>
      </c>
      <c r="BH72" t="s">
        <v>74</v>
      </c>
      <c r="BI72" t="s">
        <v>74</v>
      </c>
      <c r="BJ72" t="s">
        <v>3747</v>
      </c>
      <c r="BK72" t="s">
        <v>112</v>
      </c>
      <c r="BL72" t="s">
        <v>3747</v>
      </c>
      <c r="BM72" t="s">
        <v>74</v>
      </c>
      <c r="BN72">
        <v>25772109</v>
      </c>
      <c r="BO72" t="s">
        <v>74</v>
      </c>
      <c r="BP72" t="s">
        <v>74</v>
      </c>
      <c r="BQ72" t="s">
        <v>74</v>
      </c>
      <c r="BR72" t="s">
        <v>93</v>
      </c>
      <c r="BS72" t="s">
        <v>3748</v>
      </c>
      <c r="BT72" t="str">
        <f>HYPERLINK("https%3A%2F%2Fwww.webofscience.com%2Fwos%2Fwoscc%2Ffull-record%2FWOS:000352665900008","View Full Record in Web of Science")</f>
        <v>View Full Record in Web of Science</v>
      </c>
    </row>
    <row r="73" spans="1:72" x14ac:dyDescent="0.15">
      <c r="A73" t="s">
        <v>72</v>
      </c>
      <c r="B73" t="s">
        <v>7651</v>
      </c>
      <c r="C73" t="s">
        <v>74</v>
      </c>
      <c r="D73" t="s">
        <v>74</v>
      </c>
      <c r="E73" t="s">
        <v>74</v>
      </c>
      <c r="F73" t="s">
        <v>7652</v>
      </c>
      <c r="G73" t="s">
        <v>74</v>
      </c>
      <c r="H73" t="s">
        <v>74</v>
      </c>
      <c r="I73" t="s">
        <v>7653</v>
      </c>
      <c r="J73" t="s">
        <v>7654</v>
      </c>
      <c r="K73" t="s">
        <v>74</v>
      </c>
      <c r="L73" t="s">
        <v>74</v>
      </c>
      <c r="M73" t="s">
        <v>74</v>
      </c>
      <c r="N73" t="s">
        <v>78</v>
      </c>
      <c r="O73" t="s">
        <v>74</v>
      </c>
      <c r="P73" t="s">
        <v>74</v>
      </c>
      <c r="Q73" t="s">
        <v>74</v>
      </c>
      <c r="R73" t="s">
        <v>74</v>
      </c>
      <c r="S73" t="s">
        <v>74</v>
      </c>
      <c r="T73" t="s">
        <v>7655</v>
      </c>
      <c r="U73" t="s">
        <v>7656</v>
      </c>
      <c r="V73" t="s">
        <v>7657</v>
      </c>
      <c r="W73" t="s">
        <v>7658</v>
      </c>
      <c r="X73" t="s">
        <v>7659</v>
      </c>
      <c r="Y73" t="s">
        <v>7660</v>
      </c>
      <c r="Z73" t="s">
        <v>7661</v>
      </c>
      <c r="AA73" t="s">
        <v>7662</v>
      </c>
      <c r="AB73" t="s">
        <v>7663</v>
      </c>
      <c r="AC73" t="s">
        <v>74</v>
      </c>
      <c r="AD73" t="s">
        <v>74</v>
      </c>
      <c r="AE73" t="s">
        <v>74</v>
      </c>
      <c r="AF73" t="s">
        <v>74</v>
      </c>
      <c r="AG73">
        <v>33</v>
      </c>
      <c r="AH73">
        <v>95</v>
      </c>
      <c r="AI73">
        <v>99</v>
      </c>
      <c r="AJ73">
        <v>3</v>
      </c>
      <c r="AK73">
        <v>21</v>
      </c>
      <c r="AL73" t="s">
        <v>74</v>
      </c>
      <c r="AM73" t="s">
        <v>74</v>
      </c>
      <c r="AN73" t="s">
        <v>74</v>
      </c>
      <c r="AO73" t="s">
        <v>7664</v>
      </c>
      <c r="AP73" t="s">
        <v>7665</v>
      </c>
      <c r="AQ73" t="s">
        <v>74</v>
      </c>
      <c r="AR73" t="s">
        <v>74</v>
      </c>
      <c r="AS73" t="s">
        <v>74</v>
      </c>
      <c r="AT73" t="s">
        <v>88</v>
      </c>
      <c r="AU73">
        <v>2018</v>
      </c>
      <c r="AV73">
        <v>119</v>
      </c>
      <c r="AW73">
        <v>6</v>
      </c>
      <c r="AX73" t="s">
        <v>74</v>
      </c>
      <c r="AY73" t="s">
        <v>74</v>
      </c>
      <c r="AZ73" t="s">
        <v>74</v>
      </c>
      <c r="BA73" t="s">
        <v>74</v>
      </c>
      <c r="BB73">
        <v>4711</v>
      </c>
      <c r="BC73">
        <v>4716</v>
      </c>
      <c r="BD73" t="s">
        <v>74</v>
      </c>
      <c r="BE73" t="s">
        <v>7666</v>
      </c>
      <c r="BF73" t="str">
        <f>HYPERLINK("http://dx.doi.org/10.1002/jcb.26650","http://dx.doi.org/10.1002/jcb.26650")</f>
        <v>http://dx.doi.org/10.1002/jcb.26650</v>
      </c>
      <c r="BG73" t="s">
        <v>74</v>
      </c>
      <c r="BH73" t="s">
        <v>74</v>
      </c>
      <c r="BI73" t="s">
        <v>74</v>
      </c>
      <c r="BJ73" t="s">
        <v>1493</v>
      </c>
      <c r="BK73" t="s">
        <v>112</v>
      </c>
      <c r="BL73" t="s">
        <v>1493</v>
      </c>
      <c r="BM73" t="s">
        <v>74</v>
      </c>
      <c r="BN73">
        <v>29278659</v>
      </c>
      <c r="BO73" t="s">
        <v>74</v>
      </c>
      <c r="BP73" t="s">
        <v>74</v>
      </c>
      <c r="BQ73" t="s">
        <v>74</v>
      </c>
      <c r="BR73" t="s">
        <v>93</v>
      </c>
      <c r="BS73" t="s">
        <v>7667</v>
      </c>
      <c r="BT73" t="str">
        <f>HYPERLINK("https%3A%2F%2Fwww.webofscience.com%2Fwos%2Fwoscc%2Ffull-record%2FWOS:000430667200044","View Full Record in Web of Science")</f>
        <v>View Full Record in Web of Science</v>
      </c>
    </row>
    <row r="74" spans="1:72" x14ac:dyDescent="0.15">
      <c r="A74" t="s">
        <v>72</v>
      </c>
      <c r="B74" t="s">
        <v>565</v>
      </c>
      <c r="C74" t="s">
        <v>74</v>
      </c>
      <c r="D74" t="s">
        <v>74</v>
      </c>
      <c r="E74" t="s">
        <v>74</v>
      </c>
      <c r="F74" t="s">
        <v>566</v>
      </c>
      <c r="G74" t="s">
        <v>74</v>
      </c>
      <c r="H74" t="s">
        <v>74</v>
      </c>
      <c r="I74" t="s">
        <v>567</v>
      </c>
      <c r="J74" t="s">
        <v>568</v>
      </c>
      <c r="K74" t="s">
        <v>74</v>
      </c>
      <c r="L74" t="s">
        <v>74</v>
      </c>
      <c r="M74" t="s">
        <v>74</v>
      </c>
      <c r="N74" t="s">
        <v>78</v>
      </c>
      <c r="O74" t="s">
        <v>74</v>
      </c>
      <c r="P74" t="s">
        <v>74</v>
      </c>
      <c r="Q74" t="s">
        <v>74</v>
      </c>
      <c r="R74" t="s">
        <v>74</v>
      </c>
      <c r="S74" t="s">
        <v>74</v>
      </c>
      <c r="T74" t="s">
        <v>74</v>
      </c>
      <c r="U74" t="s">
        <v>569</v>
      </c>
      <c r="V74" t="s">
        <v>570</v>
      </c>
      <c r="W74" t="s">
        <v>571</v>
      </c>
      <c r="X74" t="s">
        <v>572</v>
      </c>
      <c r="Y74" t="s">
        <v>573</v>
      </c>
      <c r="Z74" t="s">
        <v>574</v>
      </c>
      <c r="AA74" t="s">
        <v>575</v>
      </c>
      <c r="AB74" t="s">
        <v>576</v>
      </c>
      <c r="AC74" t="s">
        <v>74</v>
      </c>
      <c r="AD74" t="s">
        <v>74</v>
      </c>
      <c r="AE74" t="s">
        <v>74</v>
      </c>
      <c r="AF74" t="s">
        <v>74</v>
      </c>
      <c r="AG74">
        <v>60</v>
      </c>
      <c r="AH74">
        <v>94</v>
      </c>
      <c r="AI74">
        <v>98</v>
      </c>
      <c r="AJ74">
        <v>4</v>
      </c>
      <c r="AK74">
        <v>57</v>
      </c>
      <c r="AL74" t="s">
        <v>74</v>
      </c>
      <c r="AM74" t="s">
        <v>74</v>
      </c>
      <c r="AN74" t="s">
        <v>74</v>
      </c>
      <c r="AO74" t="s">
        <v>577</v>
      </c>
      <c r="AP74" t="s">
        <v>74</v>
      </c>
      <c r="AQ74" t="s">
        <v>74</v>
      </c>
      <c r="AR74" t="s">
        <v>74</v>
      </c>
      <c r="AS74" t="s">
        <v>74</v>
      </c>
      <c r="AT74" t="s">
        <v>578</v>
      </c>
      <c r="AU74">
        <v>2016</v>
      </c>
      <c r="AV74">
        <v>11</v>
      </c>
      <c r="AW74">
        <v>6</v>
      </c>
      <c r="AX74" t="s">
        <v>74</v>
      </c>
      <c r="AY74" t="s">
        <v>74</v>
      </c>
      <c r="AZ74" t="s">
        <v>74</v>
      </c>
      <c r="BA74" t="s">
        <v>74</v>
      </c>
      <c r="BB74" t="s">
        <v>74</v>
      </c>
      <c r="BC74" t="s">
        <v>74</v>
      </c>
      <c r="BD74" t="s">
        <v>579</v>
      </c>
      <c r="BE74" t="s">
        <v>580</v>
      </c>
      <c r="BF74" t="str">
        <f>HYPERLINK("http://dx.doi.org/10.1371/journal.pone.0157566","http://dx.doi.org/10.1371/journal.pone.0157566")</f>
        <v>http://dx.doi.org/10.1371/journal.pone.0157566</v>
      </c>
      <c r="BG74" t="s">
        <v>74</v>
      </c>
      <c r="BH74" t="s">
        <v>74</v>
      </c>
      <c r="BI74" t="s">
        <v>74</v>
      </c>
      <c r="BJ74" t="s">
        <v>545</v>
      </c>
      <c r="BK74" t="s">
        <v>112</v>
      </c>
      <c r="BL74" t="s">
        <v>546</v>
      </c>
      <c r="BM74" t="s">
        <v>74</v>
      </c>
      <c r="BN74">
        <v>27305142</v>
      </c>
      <c r="BO74" t="s">
        <v>74</v>
      </c>
      <c r="BP74" t="s">
        <v>74</v>
      </c>
      <c r="BQ74" t="s">
        <v>74</v>
      </c>
      <c r="BR74" t="s">
        <v>93</v>
      </c>
      <c r="BS74" t="s">
        <v>581</v>
      </c>
      <c r="BT74" t="str">
        <f>HYPERLINK("https%3A%2F%2Fwww.webofscience.com%2Fwos%2Fwoscc%2Ffull-record%2FWOS:000377824800073","View Full Record in Web of Science")</f>
        <v>View Full Record in Web of Science</v>
      </c>
    </row>
    <row r="75" spans="1:72" x14ac:dyDescent="0.15">
      <c r="A75" t="s">
        <v>72</v>
      </c>
      <c r="B75" t="s">
        <v>4490</v>
      </c>
      <c r="C75" t="s">
        <v>74</v>
      </c>
      <c r="D75" t="s">
        <v>74</v>
      </c>
      <c r="E75" t="s">
        <v>74</v>
      </c>
      <c r="F75" t="s">
        <v>4491</v>
      </c>
      <c r="G75" t="s">
        <v>74</v>
      </c>
      <c r="H75" t="s">
        <v>74</v>
      </c>
      <c r="I75" t="s">
        <v>4492</v>
      </c>
      <c r="J75" t="s">
        <v>4493</v>
      </c>
      <c r="K75" t="s">
        <v>74</v>
      </c>
      <c r="L75" t="s">
        <v>74</v>
      </c>
      <c r="M75" t="s">
        <v>74</v>
      </c>
      <c r="N75" t="s">
        <v>78</v>
      </c>
      <c r="O75" t="s">
        <v>74</v>
      </c>
      <c r="P75" t="s">
        <v>74</v>
      </c>
      <c r="Q75" t="s">
        <v>74</v>
      </c>
      <c r="R75" t="s">
        <v>74</v>
      </c>
      <c r="S75" t="s">
        <v>74</v>
      </c>
      <c r="T75" t="s">
        <v>74</v>
      </c>
      <c r="U75" t="s">
        <v>4494</v>
      </c>
      <c r="V75" t="s">
        <v>4495</v>
      </c>
      <c r="W75" t="s">
        <v>4496</v>
      </c>
      <c r="X75" t="s">
        <v>4497</v>
      </c>
      <c r="Y75" t="s">
        <v>4498</v>
      </c>
      <c r="Z75" t="s">
        <v>4499</v>
      </c>
      <c r="AA75" t="s">
        <v>74</v>
      </c>
      <c r="AB75" t="s">
        <v>4500</v>
      </c>
      <c r="AC75" t="s">
        <v>74</v>
      </c>
      <c r="AD75" t="s">
        <v>74</v>
      </c>
      <c r="AE75" t="s">
        <v>74</v>
      </c>
      <c r="AF75" t="s">
        <v>74</v>
      </c>
      <c r="AG75">
        <v>40</v>
      </c>
      <c r="AH75">
        <v>93</v>
      </c>
      <c r="AI75">
        <v>95</v>
      </c>
      <c r="AJ75">
        <v>6</v>
      </c>
      <c r="AK75">
        <v>22</v>
      </c>
      <c r="AL75" t="s">
        <v>74</v>
      </c>
      <c r="AM75" t="s">
        <v>74</v>
      </c>
      <c r="AN75" t="s">
        <v>74</v>
      </c>
      <c r="AO75" t="s">
        <v>4501</v>
      </c>
      <c r="AP75" t="s">
        <v>74</v>
      </c>
      <c r="AQ75" t="s">
        <v>74</v>
      </c>
      <c r="AR75" t="s">
        <v>74</v>
      </c>
      <c r="AS75" t="s">
        <v>74</v>
      </c>
      <c r="AT75" t="s">
        <v>236</v>
      </c>
      <c r="AU75">
        <v>2019</v>
      </c>
      <c r="AV75">
        <v>5</v>
      </c>
      <c r="AW75">
        <v>11</v>
      </c>
      <c r="AX75" t="s">
        <v>74</v>
      </c>
      <c r="AY75" t="s">
        <v>74</v>
      </c>
      <c r="AZ75" t="s">
        <v>74</v>
      </c>
      <c r="BA75" t="s">
        <v>74</v>
      </c>
      <c r="BB75" t="s">
        <v>74</v>
      </c>
      <c r="BC75" t="s">
        <v>74</v>
      </c>
      <c r="BD75" t="s">
        <v>4502</v>
      </c>
      <c r="BE75" t="s">
        <v>4503</v>
      </c>
      <c r="BF75" t="str">
        <f>HYPERLINK("http://dx.doi.org/10.1126/sciadv.aax8849","http://dx.doi.org/10.1126/sciadv.aax8849")</f>
        <v>http://dx.doi.org/10.1126/sciadv.aax8849</v>
      </c>
      <c r="BG75" t="s">
        <v>74</v>
      </c>
      <c r="BH75" t="s">
        <v>74</v>
      </c>
      <c r="BI75" t="s">
        <v>74</v>
      </c>
      <c r="BJ75" t="s">
        <v>545</v>
      </c>
      <c r="BK75" t="s">
        <v>112</v>
      </c>
      <c r="BL75" t="s">
        <v>546</v>
      </c>
      <c r="BM75" t="s">
        <v>74</v>
      </c>
      <c r="BN75">
        <v>31799396</v>
      </c>
      <c r="BO75" t="s">
        <v>74</v>
      </c>
      <c r="BP75" t="s">
        <v>74</v>
      </c>
      <c r="BQ75" t="s">
        <v>74</v>
      </c>
      <c r="BR75" t="s">
        <v>93</v>
      </c>
      <c r="BS75" t="s">
        <v>4504</v>
      </c>
      <c r="BT75" t="str">
        <f>HYPERLINK("https%3A%2F%2Fwww.webofscience.com%2Fwos%2Fwoscc%2Ffull-record%2FWOS:000499736100073","View Full Record in Web of Science")</f>
        <v>View Full Record in Web of Science</v>
      </c>
    </row>
    <row r="76" spans="1:72" x14ac:dyDescent="0.15">
      <c r="A76" t="s">
        <v>72</v>
      </c>
      <c r="B76" t="s">
        <v>9769</v>
      </c>
      <c r="C76" t="s">
        <v>74</v>
      </c>
      <c r="D76" t="s">
        <v>74</v>
      </c>
      <c r="E76" t="s">
        <v>74</v>
      </c>
      <c r="F76" t="s">
        <v>9770</v>
      </c>
      <c r="G76" t="s">
        <v>74</v>
      </c>
      <c r="H76" t="s">
        <v>74</v>
      </c>
      <c r="I76" t="s">
        <v>9771</v>
      </c>
      <c r="J76" t="s">
        <v>9772</v>
      </c>
      <c r="K76" t="s">
        <v>74</v>
      </c>
      <c r="L76" t="s">
        <v>74</v>
      </c>
      <c r="M76" t="s">
        <v>74</v>
      </c>
      <c r="N76" t="s">
        <v>78</v>
      </c>
      <c r="O76" t="s">
        <v>74</v>
      </c>
      <c r="P76" t="s">
        <v>74</v>
      </c>
      <c r="Q76" t="s">
        <v>74</v>
      </c>
      <c r="R76" t="s">
        <v>74</v>
      </c>
      <c r="S76" t="s">
        <v>74</v>
      </c>
      <c r="T76" t="s">
        <v>9773</v>
      </c>
      <c r="U76" t="s">
        <v>9774</v>
      </c>
      <c r="V76" t="s">
        <v>9775</v>
      </c>
      <c r="W76" t="s">
        <v>9776</v>
      </c>
      <c r="X76" t="s">
        <v>9777</v>
      </c>
      <c r="Y76" t="s">
        <v>9778</v>
      </c>
      <c r="Z76" t="s">
        <v>9779</v>
      </c>
      <c r="AA76" t="s">
        <v>74</v>
      </c>
      <c r="AB76" t="s">
        <v>74</v>
      </c>
      <c r="AC76" t="s">
        <v>74</v>
      </c>
      <c r="AD76" t="s">
        <v>74</v>
      </c>
      <c r="AE76" t="s">
        <v>74</v>
      </c>
      <c r="AF76" t="s">
        <v>74</v>
      </c>
      <c r="AG76">
        <v>41</v>
      </c>
      <c r="AH76">
        <v>93</v>
      </c>
      <c r="AI76">
        <v>98</v>
      </c>
      <c r="AJ76">
        <v>1</v>
      </c>
      <c r="AK76">
        <v>34</v>
      </c>
      <c r="AL76" t="s">
        <v>74</v>
      </c>
      <c r="AM76" t="s">
        <v>74</v>
      </c>
      <c r="AN76" t="s">
        <v>74</v>
      </c>
      <c r="AO76" t="s">
        <v>9780</v>
      </c>
      <c r="AP76" t="s">
        <v>9781</v>
      </c>
      <c r="AQ76" t="s">
        <v>74</v>
      </c>
      <c r="AR76" t="s">
        <v>74</v>
      </c>
      <c r="AS76" t="s">
        <v>74</v>
      </c>
      <c r="AT76" t="s">
        <v>640</v>
      </c>
      <c r="AU76">
        <v>2015</v>
      </c>
      <c r="AV76">
        <v>35</v>
      </c>
      <c r="AW76">
        <v>2</v>
      </c>
      <c r="AX76" t="s">
        <v>74</v>
      </c>
      <c r="AY76" t="s">
        <v>74</v>
      </c>
      <c r="AZ76" t="s">
        <v>74</v>
      </c>
      <c r="BA76" t="s">
        <v>74</v>
      </c>
      <c r="BB76">
        <v>532</v>
      </c>
      <c r="BC76">
        <v>541</v>
      </c>
      <c r="BD76" t="s">
        <v>74</v>
      </c>
      <c r="BE76" t="s">
        <v>9782</v>
      </c>
      <c r="BF76" t="str">
        <f>HYPERLINK("http://dx.doi.org/10.1111/liv.12633","http://dx.doi.org/10.1111/liv.12633")</f>
        <v>http://dx.doi.org/10.1111/liv.12633</v>
      </c>
      <c r="BG76" t="s">
        <v>74</v>
      </c>
      <c r="BH76" t="s">
        <v>74</v>
      </c>
      <c r="BI76" t="s">
        <v>74</v>
      </c>
      <c r="BJ76" t="s">
        <v>5475</v>
      </c>
      <c r="BK76" t="s">
        <v>112</v>
      </c>
      <c r="BL76" t="s">
        <v>5475</v>
      </c>
      <c r="BM76" t="s">
        <v>74</v>
      </c>
      <c r="BN76">
        <v>25040043</v>
      </c>
      <c r="BO76" t="s">
        <v>74</v>
      </c>
      <c r="BP76" t="s">
        <v>74</v>
      </c>
      <c r="BQ76" t="s">
        <v>74</v>
      </c>
      <c r="BR76" t="s">
        <v>93</v>
      </c>
      <c r="BS76" t="s">
        <v>9783</v>
      </c>
      <c r="BT76" t="str">
        <f>HYPERLINK("https%3A%2F%2Fwww.webofscience.com%2Fwos%2Fwoscc%2Ffull-record%2FWOS:000348714500032","View Full Record in Web of Science")</f>
        <v>View Full Record in Web of Science</v>
      </c>
    </row>
    <row r="77" spans="1:72" x14ac:dyDescent="0.15">
      <c r="A77" t="s">
        <v>72</v>
      </c>
      <c r="B77" t="s">
        <v>7352</v>
      </c>
      <c r="C77" t="s">
        <v>74</v>
      </c>
      <c r="D77" t="s">
        <v>74</v>
      </c>
      <c r="E77" t="s">
        <v>74</v>
      </c>
      <c r="F77" t="s">
        <v>7353</v>
      </c>
      <c r="G77" t="s">
        <v>74</v>
      </c>
      <c r="H77" t="s">
        <v>74</v>
      </c>
      <c r="I77" t="s">
        <v>7354</v>
      </c>
      <c r="J77" t="s">
        <v>1950</v>
      </c>
      <c r="K77" t="s">
        <v>74</v>
      </c>
      <c r="L77" t="s">
        <v>74</v>
      </c>
      <c r="M77" t="s">
        <v>74</v>
      </c>
      <c r="N77" t="s">
        <v>78</v>
      </c>
      <c r="O77" t="s">
        <v>74</v>
      </c>
      <c r="P77" t="s">
        <v>74</v>
      </c>
      <c r="Q77" t="s">
        <v>74</v>
      </c>
      <c r="R77" t="s">
        <v>74</v>
      </c>
      <c r="S77" t="s">
        <v>74</v>
      </c>
      <c r="T77" t="s">
        <v>7355</v>
      </c>
      <c r="U77" t="s">
        <v>7356</v>
      </c>
      <c r="V77" t="s">
        <v>7357</v>
      </c>
      <c r="W77" t="s">
        <v>7358</v>
      </c>
      <c r="X77" t="s">
        <v>7359</v>
      </c>
      <c r="Y77" t="s">
        <v>7360</v>
      </c>
      <c r="Z77" t="s">
        <v>7361</v>
      </c>
      <c r="AA77" t="s">
        <v>7362</v>
      </c>
      <c r="AB77" t="s">
        <v>7363</v>
      </c>
      <c r="AC77" t="s">
        <v>74</v>
      </c>
      <c r="AD77" t="s">
        <v>74</v>
      </c>
      <c r="AE77" t="s">
        <v>74</v>
      </c>
      <c r="AF77" t="s">
        <v>74</v>
      </c>
      <c r="AG77">
        <v>67</v>
      </c>
      <c r="AH77">
        <v>92</v>
      </c>
      <c r="AI77">
        <v>97</v>
      </c>
      <c r="AJ77">
        <v>6</v>
      </c>
      <c r="AK77">
        <v>21</v>
      </c>
      <c r="AL77" t="s">
        <v>74</v>
      </c>
      <c r="AM77" t="s">
        <v>74</v>
      </c>
      <c r="AN77" t="s">
        <v>74</v>
      </c>
      <c r="AO77" t="s">
        <v>74</v>
      </c>
      <c r="AP77" t="s">
        <v>1960</v>
      </c>
      <c r="AQ77" t="s">
        <v>74</v>
      </c>
      <c r="AR77" t="s">
        <v>74</v>
      </c>
      <c r="AS77" t="s">
        <v>74</v>
      </c>
      <c r="AT77" t="s">
        <v>5427</v>
      </c>
      <c r="AU77">
        <v>2019</v>
      </c>
      <c r="AV77">
        <v>38</v>
      </c>
      <c r="AW77" t="s">
        <v>74</v>
      </c>
      <c r="AX77" t="s">
        <v>74</v>
      </c>
      <c r="AY77" t="s">
        <v>74</v>
      </c>
      <c r="AZ77" t="s">
        <v>74</v>
      </c>
      <c r="BA77" t="s">
        <v>74</v>
      </c>
      <c r="BB77" t="s">
        <v>74</v>
      </c>
      <c r="BC77" t="s">
        <v>74</v>
      </c>
      <c r="BD77">
        <v>166</v>
      </c>
      <c r="BE77" t="s">
        <v>7364</v>
      </c>
      <c r="BF77" t="str">
        <f>HYPERLINK("http://dx.doi.org/10.1186/s13046-019-1139-6","http://dx.doi.org/10.1186/s13046-019-1139-6")</f>
        <v>http://dx.doi.org/10.1186/s13046-019-1139-6</v>
      </c>
      <c r="BG77" t="s">
        <v>74</v>
      </c>
      <c r="BH77" t="s">
        <v>74</v>
      </c>
      <c r="BI77" t="s">
        <v>74</v>
      </c>
      <c r="BJ77" t="s">
        <v>146</v>
      </c>
      <c r="BK77" t="s">
        <v>112</v>
      </c>
      <c r="BL77" t="s">
        <v>146</v>
      </c>
      <c r="BM77" t="s">
        <v>74</v>
      </c>
      <c r="BN77">
        <v>30992025</v>
      </c>
      <c r="BO77" t="s">
        <v>74</v>
      </c>
      <c r="BP77" t="s">
        <v>420</v>
      </c>
      <c r="BQ77" t="s">
        <v>421</v>
      </c>
      <c r="BR77" t="s">
        <v>93</v>
      </c>
      <c r="BS77" t="s">
        <v>7365</v>
      </c>
      <c r="BT77" t="str">
        <f>HYPERLINK("https%3A%2F%2Fwww.webofscience.com%2Fwos%2Fwoscc%2Ffull-record%2FWOS:000464893900001","View Full Record in Web of Science")</f>
        <v>View Full Record in Web of Science</v>
      </c>
    </row>
    <row r="78" spans="1:72" x14ac:dyDescent="0.15">
      <c r="A78" t="s">
        <v>72</v>
      </c>
      <c r="B78" t="s">
        <v>10507</v>
      </c>
      <c r="C78" t="s">
        <v>74</v>
      </c>
      <c r="D78" t="s">
        <v>74</v>
      </c>
      <c r="E78" t="s">
        <v>74</v>
      </c>
      <c r="F78" t="s">
        <v>10507</v>
      </c>
      <c r="G78" t="s">
        <v>74</v>
      </c>
      <c r="H78" t="s">
        <v>74</v>
      </c>
      <c r="I78" t="s">
        <v>10508</v>
      </c>
      <c r="J78" t="s">
        <v>7612</v>
      </c>
      <c r="K78" t="s">
        <v>74</v>
      </c>
      <c r="L78" t="s">
        <v>74</v>
      </c>
      <c r="M78" t="s">
        <v>74</v>
      </c>
      <c r="N78" t="s">
        <v>78</v>
      </c>
      <c r="O78" t="s">
        <v>74</v>
      </c>
      <c r="P78" t="s">
        <v>74</v>
      </c>
      <c r="Q78" t="s">
        <v>74</v>
      </c>
      <c r="R78" t="s">
        <v>74</v>
      </c>
      <c r="S78" t="s">
        <v>74</v>
      </c>
      <c r="T78" t="s">
        <v>10509</v>
      </c>
      <c r="U78" t="s">
        <v>10510</v>
      </c>
      <c r="V78" t="s">
        <v>10511</v>
      </c>
      <c r="W78" t="s">
        <v>10512</v>
      </c>
      <c r="X78" t="s">
        <v>10513</v>
      </c>
      <c r="Y78" t="s">
        <v>10514</v>
      </c>
      <c r="Z78" t="s">
        <v>74</v>
      </c>
      <c r="AA78" t="s">
        <v>10515</v>
      </c>
      <c r="AB78" t="s">
        <v>10516</v>
      </c>
      <c r="AC78" t="s">
        <v>74</v>
      </c>
      <c r="AD78" t="s">
        <v>74</v>
      </c>
      <c r="AE78" t="s">
        <v>74</v>
      </c>
      <c r="AF78" t="s">
        <v>74</v>
      </c>
      <c r="AG78">
        <v>49</v>
      </c>
      <c r="AH78">
        <v>92</v>
      </c>
      <c r="AI78">
        <v>93</v>
      </c>
      <c r="AJ78">
        <v>0</v>
      </c>
      <c r="AK78">
        <v>4</v>
      </c>
      <c r="AL78" t="s">
        <v>74</v>
      </c>
      <c r="AM78" t="s">
        <v>74</v>
      </c>
      <c r="AN78" t="s">
        <v>74</v>
      </c>
      <c r="AO78" t="s">
        <v>7621</v>
      </c>
      <c r="AP78" t="s">
        <v>7622</v>
      </c>
      <c r="AQ78" t="s">
        <v>74</v>
      </c>
      <c r="AR78" t="s">
        <v>74</v>
      </c>
      <c r="AS78" t="s">
        <v>74</v>
      </c>
      <c r="AT78" t="s">
        <v>108</v>
      </c>
      <c r="AU78">
        <v>1994</v>
      </c>
      <c r="AV78">
        <v>93</v>
      </c>
      <c r="AW78">
        <v>1</v>
      </c>
      <c r="AX78" t="s">
        <v>74</v>
      </c>
      <c r="AY78" t="s">
        <v>74</v>
      </c>
      <c r="AZ78" t="s">
        <v>74</v>
      </c>
      <c r="BA78" t="s">
        <v>74</v>
      </c>
      <c r="BB78">
        <v>121</v>
      </c>
      <c r="BC78">
        <v>130</v>
      </c>
      <c r="BD78" t="s">
        <v>74</v>
      </c>
      <c r="BE78" t="s">
        <v>10517</v>
      </c>
      <c r="BF78" t="str">
        <f>HYPERLINK("http://dx.doi.org/10.1172/JCI116935","http://dx.doi.org/10.1172/JCI116935")</f>
        <v>http://dx.doi.org/10.1172/JCI116935</v>
      </c>
      <c r="BG78" t="s">
        <v>74</v>
      </c>
      <c r="BH78" t="s">
        <v>74</v>
      </c>
      <c r="BI78" t="s">
        <v>74</v>
      </c>
      <c r="BJ78" t="s">
        <v>506</v>
      </c>
      <c r="BK78" t="s">
        <v>112</v>
      </c>
      <c r="BL78" t="s">
        <v>507</v>
      </c>
      <c r="BM78" t="s">
        <v>74</v>
      </c>
      <c r="BN78">
        <v>8282779</v>
      </c>
      <c r="BO78" t="s">
        <v>74</v>
      </c>
      <c r="BP78" t="s">
        <v>74</v>
      </c>
      <c r="BQ78" t="s">
        <v>74</v>
      </c>
      <c r="BR78" t="s">
        <v>93</v>
      </c>
      <c r="BS78" t="s">
        <v>10518</v>
      </c>
      <c r="BT78" t="str">
        <f>HYPERLINK("https%3A%2F%2Fwww.webofscience.com%2Fwos%2Fwoscc%2Ffull-record%2FWOS:A1994MY15900018","View Full Record in Web of Science")</f>
        <v>View Full Record in Web of Science</v>
      </c>
    </row>
    <row r="79" spans="1:72" x14ac:dyDescent="0.15">
      <c r="A79" t="s">
        <v>72</v>
      </c>
      <c r="B79" t="s">
        <v>6597</v>
      </c>
      <c r="C79" t="s">
        <v>74</v>
      </c>
      <c r="D79" t="s">
        <v>74</v>
      </c>
      <c r="E79" t="s">
        <v>74</v>
      </c>
      <c r="F79" t="s">
        <v>6598</v>
      </c>
      <c r="G79" t="s">
        <v>74</v>
      </c>
      <c r="H79" t="s">
        <v>74</v>
      </c>
      <c r="I79" t="s">
        <v>6599</v>
      </c>
      <c r="J79" t="s">
        <v>6600</v>
      </c>
      <c r="K79" t="s">
        <v>74</v>
      </c>
      <c r="L79" t="s">
        <v>74</v>
      </c>
      <c r="M79" t="s">
        <v>74</v>
      </c>
      <c r="N79" t="s">
        <v>78</v>
      </c>
      <c r="O79" t="s">
        <v>74</v>
      </c>
      <c r="P79" t="s">
        <v>74</v>
      </c>
      <c r="Q79" t="s">
        <v>74</v>
      </c>
      <c r="R79" t="s">
        <v>74</v>
      </c>
      <c r="S79" t="s">
        <v>74</v>
      </c>
      <c r="T79" t="s">
        <v>6601</v>
      </c>
      <c r="U79" t="s">
        <v>6602</v>
      </c>
      <c r="V79" t="s">
        <v>6603</v>
      </c>
      <c r="W79" t="s">
        <v>6604</v>
      </c>
      <c r="X79" t="s">
        <v>6605</v>
      </c>
      <c r="Y79" t="s">
        <v>6606</v>
      </c>
      <c r="Z79" t="s">
        <v>6607</v>
      </c>
      <c r="AA79" t="s">
        <v>74</v>
      </c>
      <c r="AB79" t="s">
        <v>6608</v>
      </c>
      <c r="AC79" t="s">
        <v>74</v>
      </c>
      <c r="AD79" t="s">
        <v>74</v>
      </c>
      <c r="AE79" t="s">
        <v>74</v>
      </c>
      <c r="AF79" t="s">
        <v>74</v>
      </c>
      <c r="AG79">
        <v>66</v>
      </c>
      <c r="AH79">
        <v>91</v>
      </c>
      <c r="AI79">
        <v>94</v>
      </c>
      <c r="AJ79">
        <v>1</v>
      </c>
      <c r="AK79">
        <v>16</v>
      </c>
      <c r="AL79" t="s">
        <v>74</v>
      </c>
      <c r="AM79" t="s">
        <v>74</v>
      </c>
      <c r="AN79" t="s">
        <v>74</v>
      </c>
      <c r="AO79" t="s">
        <v>6609</v>
      </c>
      <c r="AP79" t="s">
        <v>74</v>
      </c>
      <c r="AQ79" t="s">
        <v>74</v>
      </c>
      <c r="AR79" t="s">
        <v>74</v>
      </c>
      <c r="AS79" t="s">
        <v>74</v>
      </c>
      <c r="AT79" t="s">
        <v>2919</v>
      </c>
      <c r="AU79">
        <v>2014</v>
      </c>
      <c r="AV79">
        <v>11</v>
      </c>
      <c r="AW79" t="s">
        <v>74</v>
      </c>
      <c r="AX79" t="s">
        <v>74</v>
      </c>
      <c r="AY79" t="s">
        <v>74</v>
      </c>
      <c r="AZ79" t="s">
        <v>74</v>
      </c>
      <c r="BA79" t="s">
        <v>74</v>
      </c>
      <c r="BB79" t="s">
        <v>74</v>
      </c>
      <c r="BC79" t="s">
        <v>74</v>
      </c>
      <c r="BD79">
        <v>102</v>
      </c>
      <c r="BE79" t="s">
        <v>6610</v>
      </c>
      <c r="BF79" t="str">
        <f>HYPERLINK("http://dx.doi.org/10.1186/s12977-014-0102-z","http://dx.doi.org/10.1186/s12977-014-0102-z")</f>
        <v>http://dx.doi.org/10.1186/s12977-014-0102-z</v>
      </c>
      <c r="BG79" t="s">
        <v>74</v>
      </c>
      <c r="BH79" t="s">
        <v>74</v>
      </c>
      <c r="BI79" t="s">
        <v>74</v>
      </c>
      <c r="BJ79" t="s">
        <v>401</v>
      </c>
      <c r="BK79" t="s">
        <v>112</v>
      </c>
      <c r="BL79" t="s">
        <v>401</v>
      </c>
      <c r="BM79" t="s">
        <v>74</v>
      </c>
      <c r="BN79">
        <v>25407601</v>
      </c>
      <c r="BO79" t="s">
        <v>74</v>
      </c>
      <c r="BP79" t="s">
        <v>74</v>
      </c>
      <c r="BQ79" t="s">
        <v>74</v>
      </c>
      <c r="BR79" t="s">
        <v>93</v>
      </c>
      <c r="BS79" t="s">
        <v>6611</v>
      </c>
      <c r="BT79" t="str">
        <f>HYPERLINK("https%3A%2F%2Fwww.webofscience.com%2Fwos%2Fwoscc%2Ffull-record%2FWOS:000345706500001","View Full Record in Web of Science")</f>
        <v>View Full Record in Web of Science</v>
      </c>
    </row>
    <row r="80" spans="1:72" x14ac:dyDescent="0.15">
      <c r="A80" t="s">
        <v>72</v>
      </c>
      <c r="B80" t="s">
        <v>3585</v>
      </c>
      <c r="C80" t="s">
        <v>74</v>
      </c>
      <c r="D80" t="s">
        <v>74</v>
      </c>
      <c r="E80" t="s">
        <v>74</v>
      </c>
      <c r="F80" t="s">
        <v>3586</v>
      </c>
      <c r="G80" t="s">
        <v>74</v>
      </c>
      <c r="H80" t="s">
        <v>74</v>
      </c>
      <c r="I80" t="s">
        <v>3587</v>
      </c>
      <c r="J80" t="s">
        <v>3588</v>
      </c>
      <c r="K80" t="s">
        <v>74</v>
      </c>
      <c r="L80" t="s">
        <v>74</v>
      </c>
      <c r="M80" t="s">
        <v>74</v>
      </c>
      <c r="N80" t="s">
        <v>78</v>
      </c>
      <c r="O80" t="s">
        <v>74</v>
      </c>
      <c r="P80" t="s">
        <v>74</v>
      </c>
      <c r="Q80" t="s">
        <v>74</v>
      </c>
      <c r="R80" t="s">
        <v>74</v>
      </c>
      <c r="S80" t="s">
        <v>74</v>
      </c>
      <c r="T80" t="s">
        <v>3589</v>
      </c>
      <c r="U80" t="s">
        <v>3590</v>
      </c>
      <c r="V80" t="s">
        <v>3591</v>
      </c>
      <c r="W80" t="s">
        <v>3592</v>
      </c>
      <c r="X80" t="s">
        <v>3593</v>
      </c>
      <c r="Y80" t="s">
        <v>3594</v>
      </c>
      <c r="Z80" t="s">
        <v>3595</v>
      </c>
      <c r="AA80" t="s">
        <v>3596</v>
      </c>
      <c r="AB80" t="s">
        <v>3597</v>
      </c>
      <c r="AC80" t="s">
        <v>74</v>
      </c>
      <c r="AD80" t="s">
        <v>74</v>
      </c>
      <c r="AE80" t="s">
        <v>74</v>
      </c>
      <c r="AF80" t="s">
        <v>74</v>
      </c>
      <c r="AG80">
        <v>35</v>
      </c>
      <c r="AH80">
        <v>90</v>
      </c>
      <c r="AI80">
        <v>92</v>
      </c>
      <c r="AJ80">
        <v>0</v>
      </c>
      <c r="AK80">
        <v>14</v>
      </c>
      <c r="AL80" t="s">
        <v>74</v>
      </c>
      <c r="AM80" t="s">
        <v>74</v>
      </c>
      <c r="AN80" t="s">
        <v>74</v>
      </c>
      <c r="AO80" t="s">
        <v>3598</v>
      </c>
      <c r="AP80" t="s">
        <v>3599</v>
      </c>
      <c r="AQ80" t="s">
        <v>74</v>
      </c>
      <c r="AR80" t="s">
        <v>74</v>
      </c>
      <c r="AS80" t="s">
        <v>74</v>
      </c>
      <c r="AT80" t="s">
        <v>659</v>
      </c>
      <c r="AU80">
        <v>2014</v>
      </c>
      <c r="AV80">
        <v>15</v>
      </c>
      <c r="AW80" t="s">
        <v>3547</v>
      </c>
      <c r="AX80" t="s">
        <v>74</v>
      </c>
      <c r="AY80" t="s">
        <v>74</v>
      </c>
      <c r="AZ80" t="s">
        <v>74</v>
      </c>
      <c r="BA80" t="s">
        <v>74</v>
      </c>
      <c r="BB80">
        <v>351</v>
      </c>
      <c r="BC80">
        <v>356</v>
      </c>
      <c r="BD80" t="s">
        <v>74</v>
      </c>
      <c r="BE80" t="s">
        <v>3600</v>
      </c>
      <c r="BF80" t="str">
        <f>HYPERLINK("http://dx.doi.org/10.3109/21678421.2014.905606","http://dx.doi.org/10.3109/21678421.2014.905606")</f>
        <v>http://dx.doi.org/10.3109/21678421.2014.905606</v>
      </c>
      <c r="BG80" t="s">
        <v>74</v>
      </c>
      <c r="BH80" t="s">
        <v>74</v>
      </c>
      <c r="BI80" t="s">
        <v>74</v>
      </c>
      <c r="BJ80" t="s">
        <v>3601</v>
      </c>
      <c r="BK80" t="s">
        <v>112</v>
      </c>
      <c r="BL80" t="s">
        <v>2407</v>
      </c>
      <c r="BM80" t="s">
        <v>74</v>
      </c>
      <c r="BN80">
        <v>24834468</v>
      </c>
      <c r="BO80" t="s">
        <v>74</v>
      </c>
      <c r="BP80" t="s">
        <v>74</v>
      </c>
      <c r="BQ80" t="s">
        <v>74</v>
      </c>
      <c r="BR80" t="s">
        <v>93</v>
      </c>
      <c r="BS80" t="s">
        <v>3602</v>
      </c>
      <c r="BT80" t="str">
        <f>HYPERLINK("https%3A%2F%2Fwww.webofscience.com%2Fwos%2Fwoscc%2Ffull-record%2FWOS:000340827800004","View Full Record in Web of Science")</f>
        <v>View Full Record in Web of Science</v>
      </c>
    </row>
    <row r="81" spans="1:72" x14ac:dyDescent="0.15">
      <c r="A81" t="s">
        <v>72</v>
      </c>
      <c r="B81" t="s">
        <v>4304</v>
      </c>
      <c r="C81" t="s">
        <v>74</v>
      </c>
      <c r="D81" t="s">
        <v>74</v>
      </c>
      <c r="E81" t="s">
        <v>74</v>
      </c>
      <c r="F81" t="s">
        <v>4305</v>
      </c>
      <c r="G81" t="s">
        <v>74</v>
      </c>
      <c r="H81" t="s">
        <v>74</v>
      </c>
      <c r="I81" t="s">
        <v>4306</v>
      </c>
      <c r="J81" t="s">
        <v>474</v>
      </c>
      <c r="K81" t="s">
        <v>74</v>
      </c>
      <c r="L81" t="s">
        <v>74</v>
      </c>
      <c r="M81" t="s">
        <v>74</v>
      </c>
      <c r="N81" t="s">
        <v>78</v>
      </c>
      <c r="O81" t="s">
        <v>74</v>
      </c>
      <c r="P81" t="s">
        <v>74</v>
      </c>
      <c r="Q81" t="s">
        <v>74</v>
      </c>
      <c r="R81" t="s">
        <v>74</v>
      </c>
      <c r="S81" t="s">
        <v>74</v>
      </c>
      <c r="T81" t="s">
        <v>4307</v>
      </c>
      <c r="U81" t="s">
        <v>4308</v>
      </c>
      <c r="V81" t="s">
        <v>4309</v>
      </c>
      <c r="W81" t="s">
        <v>4310</v>
      </c>
      <c r="X81" t="s">
        <v>4311</v>
      </c>
      <c r="Y81" t="s">
        <v>4312</v>
      </c>
      <c r="Z81" t="s">
        <v>4313</v>
      </c>
      <c r="AA81" t="s">
        <v>4314</v>
      </c>
      <c r="AB81" t="s">
        <v>4315</v>
      </c>
      <c r="AC81" t="s">
        <v>74</v>
      </c>
      <c r="AD81" t="s">
        <v>74</v>
      </c>
      <c r="AE81" t="s">
        <v>74</v>
      </c>
      <c r="AF81" t="s">
        <v>74</v>
      </c>
      <c r="AG81">
        <v>58</v>
      </c>
      <c r="AH81">
        <v>90</v>
      </c>
      <c r="AI81">
        <v>96</v>
      </c>
      <c r="AJ81">
        <v>2</v>
      </c>
      <c r="AK81">
        <v>11</v>
      </c>
      <c r="AL81" t="s">
        <v>74</v>
      </c>
      <c r="AM81" t="s">
        <v>74</v>
      </c>
      <c r="AN81" t="s">
        <v>74</v>
      </c>
      <c r="AO81" t="s">
        <v>74</v>
      </c>
      <c r="AP81" t="s">
        <v>484</v>
      </c>
      <c r="AQ81" t="s">
        <v>74</v>
      </c>
      <c r="AR81" t="s">
        <v>74</v>
      </c>
      <c r="AS81" t="s">
        <v>74</v>
      </c>
      <c r="AT81" t="s">
        <v>4316</v>
      </c>
      <c r="AU81">
        <v>2015</v>
      </c>
      <c r="AV81">
        <v>6</v>
      </c>
      <c r="AW81">
        <v>27</v>
      </c>
      <c r="AX81" t="s">
        <v>74</v>
      </c>
      <c r="AY81" t="s">
        <v>74</v>
      </c>
      <c r="AZ81" t="s">
        <v>74</v>
      </c>
      <c r="BA81" t="s">
        <v>74</v>
      </c>
      <c r="BB81">
        <v>24178</v>
      </c>
      <c r="BC81">
        <v>24191</v>
      </c>
      <c r="BD81" t="s">
        <v>74</v>
      </c>
      <c r="BE81" t="s">
        <v>4317</v>
      </c>
      <c r="BF81" t="str">
        <f>HYPERLINK("http://dx.doi.org/10.18632/oncotarget.4680","http://dx.doi.org/10.18632/oncotarget.4680")</f>
        <v>http://dx.doi.org/10.18632/oncotarget.4680</v>
      </c>
      <c r="BG81" t="s">
        <v>74</v>
      </c>
      <c r="BH81" t="s">
        <v>74</v>
      </c>
      <c r="BI81" t="s">
        <v>74</v>
      </c>
      <c r="BJ81" t="s">
        <v>487</v>
      </c>
      <c r="BK81" t="s">
        <v>112</v>
      </c>
      <c r="BL81" t="s">
        <v>487</v>
      </c>
      <c r="BM81" t="s">
        <v>74</v>
      </c>
      <c r="BN81">
        <v>26172304</v>
      </c>
      <c r="BO81" t="s">
        <v>74</v>
      </c>
      <c r="BP81" t="s">
        <v>74</v>
      </c>
      <c r="BQ81" t="s">
        <v>74</v>
      </c>
      <c r="BR81" t="s">
        <v>93</v>
      </c>
      <c r="BS81" t="s">
        <v>4318</v>
      </c>
      <c r="BT81" t="str">
        <f>HYPERLINK("https%3A%2F%2Fwww.webofscience.com%2Fwos%2Fwoscc%2Ffull-record%2FWOS:000363157700081","View Full Record in Web of Science")</f>
        <v>View Full Record in Web of Science</v>
      </c>
    </row>
    <row r="82" spans="1:72" x14ac:dyDescent="0.15">
      <c r="A82" t="s">
        <v>72</v>
      </c>
      <c r="B82" t="s">
        <v>5105</v>
      </c>
      <c r="C82" t="s">
        <v>74</v>
      </c>
      <c r="D82" t="s">
        <v>74</v>
      </c>
      <c r="E82" t="s">
        <v>74</v>
      </c>
      <c r="F82" t="s">
        <v>5106</v>
      </c>
      <c r="G82" t="s">
        <v>74</v>
      </c>
      <c r="H82" t="s">
        <v>74</v>
      </c>
      <c r="I82" t="s">
        <v>5107</v>
      </c>
      <c r="J82" t="s">
        <v>5108</v>
      </c>
      <c r="K82" t="s">
        <v>74</v>
      </c>
      <c r="L82" t="s">
        <v>74</v>
      </c>
      <c r="M82" t="s">
        <v>74</v>
      </c>
      <c r="N82" t="s">
        <v>78</v>
      </c>
      <c r="O82" t="s">
        <v>74</v>
      </c>
      <c r="P82" t="s">
        <v>74</v>
      </c>
      <c r="Q82" t="s">
        <v>74</v>
      </c>
      <c r="R82" t="s">
        <v>74</v>
      </c>
      <c r="S82" t="s">
        <v>74</v>
      </c>
      <c r="T82" t="s">
        <v>5109</v>
      </c>
      <c r="U82" t="s">
        <v>5110</v>
      </c>
      <c r="V82" t="s">
        <v>5111</v>
      </c>
      <c r="W82" t="s">
        <v>5112</v>
      </c>
      <c r="X82" t="s">
        <v>5113</v>
      </c>
      <c r="Y82" t="s">
        <v>5114</v>
      </c>
      <c r="Z82" t="s">
        <v>5115</v>
      </c>
      <c r="AA82" t="s">
        <v>5116</v>
      </c>
      <c r="AB82" t="s">
        <v>5117</v>
      </c>
      <c r="AC82" t="s">
        <v>74</v>
      </c>
      <c r="AD82" t="s">
        <v>74</v>
      </c>
      <c r="AE82" t="s">
        <v>74</v>
      </c>
      <c r="AF82" t="s">
        <v>74</v>
      </c>
      <c r="AG82">
        <v>27</v>
      </c>
      <c r="AH82">
        <v>90</v>
      </c>
      <c r="AI82">
        <v>93</v>
      </c>
      <c r="AJ82">
        <v>5</v>
      </c>
      <c r="AK82">
        <v>27</v>
      </c>
      <c r="AL82" t="s">
        <v>74</v>
      </c>
      <c r="AM82" t="s">
        <v>74</v>
      </c>
      <c r="AN82" t="s">
        <v>74</v>
      </c>
      <c r="AO82" t="s">
        <v>5118</v>
      </c>
      <c r="AP82" t="s">
        <v>5119</v>
      </c>
      <c r="AQ82" t="s">
        <v>74</v>
      </c>
      <c r="AR82" t="s">
        <v>74</v>
      </c>
      <c r="AS82" t="s">
        <v>74</v>
      </c>
      <c r="AT82" t="s">
        <v>74</v>
      </c>
      <c r="AU82">
        <v>2018</v>
      </c>
      <c r="AV82">
        <v>436</v>
      </c>
      <c r="AW82" t="s">
        <v>74</v>
      </c>
      <c r="AX82" t="s">
        <v>74</v>
      </c>
      <c r="AY82" t="s">
        <v>74</v>
      </c>
      <c r="AZ82" t="s">
        <v>74</v>
      </c>
      <c r="BA82" t="s">
        <v>74</v>
      </c>
      <c r="BB82">
        <v>10</v>
      </c>
      <c r="BC82">
        <v>21</v>
      </c>
      <c r="BD82" t="s">
        <v>74</v>
      </c>
      <c r="BE82" t="s">
        <v>5120</v>
      </c>
      <c r="BF82" t="str">
        <f>HYPERLINK("http://dx.doi.org/10.1016/j.canlet.2018.08.004","http://dx.doi.org/10.1016/j.canlet.2018.08.004")</f>
        <v>http://dx.doi.org/10.1016/j.canlet.2018.08.004</v>
      </c>
      <c r="BG82" t="s">
        <v>74</v>
      </c>
      <c r="BH82" t="s">
        <v>74</v>
      </c>
      <c r="BI82" t="s">
        <v>74</v>
      </c>
      <c r="BJ82" t="s">
        <v>146</v>
      </c>
      <c r="BK82" t="s">
        <v>112</v>
      </c>
      <c r="BL82" t="s">
        <v>146</v>
      </c>
      <c r="BM82" t="s">
        <v>74</v>
      </c>
      <c r="BN82">
        <v>30102952</v>
      </c>
      <c r="BO82" t="s">
        <v>74</v>
      </c>
      <c r="BP82" t="s">
        <v>74</v>
      </c>
      <c r="BQ82" t="s">
        <v>74</v>
      </c>
      <c r="BR82" t="s">
        <v>93</v>
      </c>
      <c r="BS82" t="s">
        <v>5121</v>
      </c>
      <c r="BT82" t="str">
        <f>HYPERLINK("https%3A%2F%2Fwww.webofscience.com%2Fwos%2Fwoscc%2Ffull-record%2FWOS:000447095000002","View Full Record in Web of Science")</f>
        <v>View Full Record in Web of Science</v>
      </c>
    </row>
    <row r="83" spans="1:72" x14ac:dyDescent="0.15">
      <c r="A83" t="s">
        <v>72</v>
      </c>
      <c r="B83" t="s">
        <v>10629</v>
      </c>
      <c r="C83" t="s">
        <v>74</v>
      </c>
      <c r="D83" t="s">
        <v>74</v>
      </c>
      <c r="E83" t="s">
        <v>74</v>
      </c>
      <c r="F83" t="s">
        <v>10629</v>
      </c>
      <c r="G83" t="s">
        <v>74</v>
      </c>
      <c r="H83" t="s">
        <v>74</v>
      </c>
      <c r="I83" t="s">
        <v>10630</v>
      </c>
      <c r="J83" t="s">
        <v>10631</v>
      </c>
      <c r="K83" t="s">
        <v>74</v>
      </c>
      <c r="L83" t="s">
        <v>74</v>
      </c>
      <c r="M83" t="s">
        <v>74</v>
      </c>
      <c r="N83" t="s">
        <v>78</v>
      </c>
      <c r="O83" t="s">
        <v>74</v>
      </c>
      <c r="P83" t="s">
        <v>74</v>
      </c>
      <c r="Q83" t="s">
        <v>74</v>
      </c>
      <c r="R83" t="s">
        <v>74</v>
      </c>
      <c r="S83" t="s">
        <v>74</v>
      </c>
      <c r="T83" t="s">
        <v>10632</v>
      </c>
      <c r="U83" t="s">
        <v>10633</v>
      </c>
      <c r="V83" t="s">
        <v>10634</v>
      </c>
      <c r="W83" t="s">
        <v>10635</v>
      </c>
      <c r="X83" t="s">
        <v>10636</v>
      </c>
      <c r="Y83" t="s">
        <v>74</v>
      </c>
      <c r="Z83" t="s">
        <v>74</v>
      </c>
      <c r="AA83" t="s">
        <v>74</v>
      </c>
      <c r="AB83" t="s">
        <v>10637</v>
      </c>
      <c r="AC83" t="s">
        <v>74</v>
      </c>
      <c r="AD83" t="s">
        <v>74</v>
      </c>
      <c r="AE83" t="s">
        <v>74</v>
      </c>
      <c r="AF83" t="s">
        <v>74</v>
      </c>
      <c r="AG83">
        <v>39</v>
      </c>
      <c r="AH83">
        <v>90</v>
      </c>
      <c r="AI83">
        <v>91</v>
      </c>
      <c r="AJ83">
        <v>0</v>
      </c>
      <c r="AK83">
        <v>16</v>
      </c>
      <c r="AL83" t="s">
        <v>74</v>
      </c>
      <c r="AM83" t="s">
        <v>74</v>
      </c>
      <c r="AN83" t="s">
        <v>74</v>
      </c>
      <c r="AO83" t="s">
        <v>10638</v>
      </c>
      <c r="AP83" t="s">
        <v>74</v>
      </c>
      <c r="AQ83" t="s">
        <v>74</v>
      </c>
      <c r="AR83" t="s">
        <v>74</v>
      </c>
      <c r="AS83" t="s">
        <v>74</v>
      </c>
      <c r="AT83" t="s">
        <v>503</v>
      </c>
      <c r="AU83">
        <v>1996</v>
      </c>
      <c r="AV83">
        <v>152</v>
      </c>
      <c r="AW83">
        <v>1</v>
      </c>
      <c r="AX83" t="s">
        <v>74</v>
      </c>
      <c r="AY83" t="s">
        <v>74</v>
      </c>
      <c r="AZ83" t="s">
        <v>74</v>
      </c>
      <c r="BA83" t="s">
        <v>74</v>
      </c>
      <c r="BB83">
        <v>65</v>
      </c>
      <c r="BC83">
        <v>75</v>
      </c>
      <c r="BD83" t="s">
        <v>74</v>
      </c>
      <c r="BE83" t="s">
        <v>10639</v>
      </c>
      <c r="BF83" t="str">
        <f>HYPERLINK("http://dx.doi.org/10.1007/s002329900086","http://dx.doi.org/10.1007/s002329900086")</f>
        <v>http://dx.doi.org/10.1007/s002329900086</v>
      </c>
      <c r="BG83" t="s">
        <v>74</v>
      </c>
      <c r="BH83" t="s">
        <v>74</v>
      </c>
      <c r="BI83" t="s">
        <v>74</v>
      </c>
      <c r="BJ83" t="s">
        <v>10640</v>
      </c>
      <c r="BK83" t="s">
        <v>112</v>
      </c>
      <c r="BL83" t="s">
        <v>10640</v>
      </c>
      <c r="BM83" t="s">
        <v>74</v>
      </c>
      <c r="BN83">
        <v>8660406</v>
      </c>
      <c r="BO83" t="s">
        <v>74</v>
      </c>
      <c r="BP83" t="s">
        <v>74</v>
      </c>
      <c r="BQ83" t="s">
        <v>74</v>
      </c>
      <c r="BR83" t="s">
        <v>93</v>
      </c>
      <c r="BS83" t="s">
        <v>10641</v>
      </c>
      <c r="BT83" t="str">
        <f>HYPERLINK("https%3A%2F%2Fwww.webofscience.com%2Fwos%2Fwoscc%2Ffull-record%2FWOS:A1996UW68000007","View Full Record in Web of Science")</f>
        <v>View Full Record in Web of Science</v>
      </c>
    </row>
    <row r="84" spans="1:72" x14ac:dyDescent="0.15">
      <c r="A84" t="s">
        <v>72</v>
      </c>
      <c r="B84" t="s">
        <v>8580</v>
      </c>
      <c r="C84" t="s">
        <v>74</v>
      </c>
      <c r="D84" t="s">
        <v>74</v>
      </c>
      <c r="E84" t="s">
        <v>74</v>
      </c>
      <c r="F84" t="s">
        <v>8581</v>
      </c>
      <c r="G84" t="s">
        <v>74</v>
      </c>
      <c r="H84" t="s">
        <v>74</v>
      </c>
      <c r="I84" t="s">
        <v>8582</v>
      </c>
      <c r="J84" t="s">
        <v>8583</v>
      </c>
      <c r="K84" t="s">
        <v>74</v>
      </c>
      <c r="L84" t="s">
        <v>74</v>
      </c>
      <c r="M84" t="s">
        <v>74</v>
      </c>
      <c r="N84" t="s">
        <v>78</v>
      </c>
      <c r="O84" t="s">
        <v>74</v>
      </c>
      <c r="P84" t="s">
        <v>74</v>
      </c>
      <c r="Q84" t="s">
        <v>74</v>
      </c>
      <c r="R84" t="s">
        <v>74</v>
      </c>
      <c r="S84" t="s">
        <v>74</v>
      </c>
      <c r="T84" t="s">
        <v>8584</v>
      </c>
      <c r="U84" t="s">
        <v>8585</v>
      </c>
      <c r="V84" t="s">
        <v>8586</v>
      </c>
      <c r="W84" t="s">
        <v>8587</v>
      </c>
      <c r="X84" t="s">
        <v>8588</v>
      </c>
      <c r="Y84" t="s">
        <v>8589</v>
      </c>
      <c r="Z84" t="s">
        <v>8590</v>
      </c>
      <c r="AA84" t="s">
        <v>74</v>
      </c>
      <c r="AB84" t="s">
        <v>74</v>
      </c>
      <c r="AC84" t="s">
        <v>74</v>
      </c>
      <c r="AD84" t="s">
        <v>74</v>
      </c>
      <c r="AE84" t="s">
        <v>74</v>
      </c>
      <c r="AF84" t="s">
        <v>74</v>
      </c>
      <c r="AG84">
        <v>44</v>
      </c>
      <c r="AH84">
        <v>89</v>
      </c>
      <c r="AI84">
        <v>91</v>
      </c>
      <c r="AJ84">
        <v>1</v>
      </c>
      <c r="AK84">
        <v>12</v>
      </c>
      <c r="AL84" t="s">
        <v>74</v>
      </c>
      <c r="AM84" t="s">
        <v>74</v>
      </c>
      <c r="AN84" t="s">
        <v>74</v>
      </c>
      <c r="AO84" t="s">
        <v>8591</v>
      </c>
      <c r="AP84" t="s">
        <v>8592</v>
      </c>
      <c r="AQ84" t="s">
        <v>74</v>
      </c>
      <c r="AR84" t="s">
        <v>74</v>
      </c>
      <c r="AS84" t="s">
        <v>74</v>
      </c>
      <c r="AT84" t="s">
        <v>8593</v>
      </c>
      <c r="AU84">
        <v>2009</v>
      </c>
      <c r="AV84">
        <v>315</v>
      </c>
      <c r="AW84">
        <v>5</v>
      </c>
      <c r="AX84" t="s">
        <v>74</v>
      </c>
      <c r="AY84" t="s">
        <v>74</v>
      </c>
      <c r="AZ84" t="s">
        <v>74</v>
      </c>
      <c r="BA84" t="s">
        <v>74</v>
      </c>
      <c r="BB84">
        <v>760</v>
      </c>
      <c r="BC84">
        <v>768</v>
      </c>
      <c r="BD84" t="s">
        <v>74</v>
      </c>
      <c r="BE84" t="s">
        <v>8594</v>
      </c>
      <c r="BF84" t="str">
        <f>HYPERLINK("http://dx.doi.org/10.1016/j.yexcr.2008.12.014","http://dx.doi.org/10.1016/j.yexcr.2008.12.014")</f>
        <v>http://dx.doi.org/10.1016/j.yexcr.2008.12.014</v>
      </c>
      <c r="BG84" t="s">
        <v>74</v>
      </c>
      <c r="BH84" t="s">
        <v>74</v>
      </c>
      <c r="BI84" t="s">
        <v>74</v>
      </c>
      <c r="BJ84" t="s">
        <v>487</v>
      </c>
      <c r="BK84" t="s">
        <v>112</v>
      </c>
      <c r="BL84" t="s">
        <v>487</v>
      </c>
      <c r="BM84" t="s">
        <v>74</v>
      </c>
      <c r="BN84">
        <v>19146850</v>
      </c>
      <c r="BO84" t="s">
        <v>74</v>
      </c>
      <c r="BP84" t="s">
        <v>74</v>
      </c>
      <c r="BQ84" t="s">
        <v>74</v>
      </c>
      <c r="BR84" t="s">
        <v>93</v>
      </c>
      <c r="BS84" t="s">
        <v>8595</v>
      </c>
      <c r="BT84" t="str">
        <f>HYPERLINK("https%3A%2F%2Fwww.webofscience.com%2Fwos%2Fwoscc%2Ffull-record%2FWOS:000263859200004","View Full Record in Web of Science")</f>
        <v>View Full Record in Web of Science</v>
      </c>
    </row>
    <row r="85" spans="1:72" x14ac:dyDescent="0.15">
      <c r="A85" t="s">
        <v>72</v>
      </c>
      <c r="B85" t="s">
        <v>9123</v>
      </c>
      <c r="C85" t="s">
        <v>74</v>
      </c>
      <c r="D85" t="s">
        <v>74</v>
      </c>
      <c r="E85" t="s">
        <v>74</v>
      </c>
      <c r="F85" t="s">
        <v>9124</v>
      </c>
      <c r="G85" t="s">
        <v>74</v>
      </c>
      <c r="H85" t="s">
        <v>74</v>
      </c>
      <c r="I85" t="s">
        <v>9125</v>
      </c>
      <c r="J85" t="s">
        <v>599</v>
      </c>
      <c r="K85" t="s">
        <v>74</v>
      </c>
      <c r="L85" t="s">
        <v>74</v>
      </c>
      <c r="M85" t="s">
        <v>74</v>
      </c>
      <c r="N85" t="s">
        <v>78</v>
      </c>
      <c r="O85" t="s">
        <v>74</v>
      </c>
      <c r="P85" t="s">
        <v>74</v>
      </c>
      <c r="Q85" t="s">
        <v>74</v>
      </c>
      <c r="R85" t="s">
        <v>74</v>
      </c>
      <c r="S85" t="s">
        <v>74</v>
      </c>
      <c r="T85" t="s">
        <v>9126</v>
      </c>
      <c r="U85" t="s">
        <v>9127</v>
      </c>
      <c r="V85" t="s">
        <v>9128</v>
      </c>
      <c r="W85" t="s">
        <v>9129</v>
      </c>
      <c r="X85" t="s">
        <v>9130</v>
      </c>
      <c r="Y85" t="s">
        <v>9131</v>
      </c>
      <c r="Z85" t="s">
        <v>9132</v>
      </c>
      <c r="AA85" t="s">
        <v>9133</v>
      </c>
      <c r="AB85" t="s">
        <v>9134</v>
      </c>
      <c r="AC85" t="s">
        <v>74</v>
      </c>
      <c r="AD85" t="s">
        <v>74</v>
      </c>
      <c r="AE85" t="s">
        <v>74</v>
      </c>
      <c r="AF85" t="s">
        <v>74</v>
      </c>
      <c r="AG85">
        <v>46</v>
      </c>
      <c r="AH85">
        <v>87</v>
      </c>
      <c r="AI85">
        <v>91</v>
      </c>
      <c r="AJ85">
        <v>2</v>
      </c>
      <c r="AK85">
        <v>19</v>
      </c>
      <c r="AL85" t="s">
        <v>74</v>
      </c>
      <c r="AM85" t="s">
        <v>74</v>
      </c>
      <c r="AN85" t="s">
        <v>74</v>
      </c>
      <c r="AO85" t="s">
        <v>609</v>
      </c>
      <c r="AP85" t="s">
        <v>74</v>
      </c>
      <c r="AQ85" t="s">
        <v>74</v>
      </c>
      <c r="AR85" t="s">
        <v>74</v>
      </c>
      <c r="AS85" t="s">
        <v>74</v>
      </c>
      <c r="AT85" t="s">
        <v>4062</v>
      </c>
      <c r="AU85">
        <v>2020</v>
      </c>
      <c r="AV85">
        <v>117</v>
      </c>
      <c r="AW85">
        <v>13</v>
      </c>
      <c r="AX85" t="s">
        <v>74</v>
      </c>
      <c r="AY85" t="s">
        <v>74</v>
      </c>
      <c r="AZ85" t="s">
        <v>74</v>
      </c>
      <c r="BA85" t="s">
        <v>74</v>
      </c>
      <c r="BB85">
        <v>7326</v>
      </c>
      <c r="BC85">
        <v>7337</v>
      </c>
      <c r="BD85" t="s">
        <v>74</v>
      </c>
      <c r="BE85" t="s">
        <v>9135</v>
      </c>
      <c r="BF85" t="str">
        <f>HYPERLINK("http://dx.doi.org/10.1073/pnas.1909546117","http://dx.doi.org/10.1073/pnas.1909546117")</f>
        <v>http://dx.doi.org/10.1073/pnas.1909546117</v>
      </c>
      <c r="BG85" t="s">
        <v>74</v>
      </c>
      <c r="BH85" t="s">
        <v>74</v>
      </c>
      <c r="BI85" t="s">
        <v>74</v>
      </c>
      <c r="BJ85" t="s">
        <v>545</v>
      </c>
      <c r="BK85" t="s">
        <v>112</v>
      </c>
      <c r="BL85" t="s">
        <v>546</v>
      </c>
      <c r="BM85" t="s">
        <v>74</v>
      </c>
      <c r="BN85">
        <v>32170015</v>
      </c>
      <c r="BO85" t="s">
        <v>74</v>
      </c>
      <c r="BP85" t="s">
        <v>74</v>
      </c>
      <c r="BQ85" t="s">
        <v>74</v>
      </c>
      <c r="BR85" t="s">
        <v>93</v>
      </c>
      <c r="BS85" t="s">
        <v>9136</v>
      </c>
      <c r="BT85" t="str">
        <f>HYPERLINK("https%3A%2F%2Fwww.webofscience.com%2Fwos%2Fwoscc%2Ffull-record%2FWOS:000523188100054","View Full Record in Web of Science")</f>
        <v>View Full Record in Web of Science</v>
      </c>
    </row>
    <row r="86" spans="1:72" x14ac:dyDescent="0.15">
      <c r="A86" t="s">
        <v>72</v>
      </c>
      <c r="B86" t="s">
        <v>8377</v>
      </c>
      <c r="C86" t="s">
        <v>74</v>
      </c>
      <c r="D86" t="s">
        <v>74</v>
      </c>
      <c r="E86" t="s">
        <v>74</v>
      </c>
      <c r="F86" t="s">
        <v>8378</v>
      </c>
      <c r="G86" t="s">
        <v>74</v>
      </c>
      <c r="H86" t="s">
        <v>74</v>
      </c>
      <c r="I86" t="s">
        <v>8379</v>
      </c>
      <c r="J86" t="s">
        <v>2358</v>
      </c>
      <c r="K86" t="s">
        <v>74</v>
      </c>
      <c r="L86" t="s">
        <v>74</v>
      </c>
      <c r="M86" t="s">
        <v>74</v>
      </c>
      <c r="N86" t="s">
        <v>78</v>
      </c>
      <c r="O86" t="s">
        <v>74</v>
      </c>
      <c r="P86" t="s">
        <v>74</v>
      </c>
      <c r="Q86" t="s">
        <v>74</v>
      </c>
      <c r="R86" t="s">
        <v>74</v>
      </c>
      <c r="S86" t="s">
        <v>74</v>
      </c>
      <c r="T86" t="s">
        <v>74</v>
      </c>
      <c r="U86" t="s">
        <v>8380</v>
      </c>
      <c r="V86" t="s">
        <v>8381</v>
      </c>
      <c r="W86" t="s">
        <v>8382</v>
      </c>
      <c r="X86" t="s">
        <v>8383</v>
      </c>
      <c r="Y86" t="s">
        <v>8384</v>
      </c>
      <c r="Z86" t="s">
        <v>8385</v>
      </c>
      <c r="AA86" t="s">
        <v>8386</v>
      </c>
      <c r="AB86" t="s">
        <v>8387</v>
      </c>
      <c r="AC86" t="s">
        <v>74</v>
      </c>
      <c r="AD86" t="s">
        <v>74</v>
      </c>
      <c r="AE86" t="s">
        <v>74</v>
      </c>
      <c r="AF86" t="s">
        <v>74</v>
      </c>
      <c r="AG86">
        <v>19</v>
      </c>
      <c r="AH86">
        <v>86</v>
      </c>
      <c r="AI86">
        <v>87</v>
      </c>
      <c r="AJ86">
        <v>72</v>
      </c>
      <c r="AK86">
        <v>377</v>
      </c>
      <c r="AL86" t="s">
        <v>74</v>
      </c>
      <c r="AM86" t="s">
        <v>74</v>
      </c>
      <c r="AN86" t="s">
        <v>74</v>
      </c>
      <c r="AO86" t="s">
        <v>2367</v>
      </c>
      <c r="AP86" t="s">
        <v>2368</v>
      </c>
      <c r="AQ86" t="s">
        <v>74</v>
      </c>
      <c r="AR86" t="s">
        <v>74</v>
      </c>
      <c r="AS86" t="s">
        <v>74</v>
      </c>
      <c r="AT86" t="s">
        <v>2369</v>
      </c>
      <c r="AU86">
        <v>2020</v>
      </c>
      <c r="AV86">
        <v>12</v>
      </c>
      <c r="AW86">
        <v>4</v>
      </c>
      <c r="AX86" t="s">
        <v>74</v>
      </c>
      <c r="AY86" t="s">
        <v>74</v>
      </c>
      <c r="AZ86" t="s">
        <v>74</v>
      </c>
      <c r="BA86" t="s">
        <v>74</v>
      </c>
      <c r="BB86">
        <v>2445</v>
      </c>
      <c r="BC86">
        <v>2451</v>
      </c>
      <c r="BD86" t="s">
        <v>74</v>
      </c>
      <c r="BE86" t="s">
        <v>8388</v>
      </c>
      <c r="BF86" t="str">
        <f>HYPERLINK("http://dx.doi.org/10.1039/c9nr08747h","http://dx.doi.org/10.1039/c9nr08747h")</f>
        <v>http://dx.doi.org/10.1039/c9nr08747h</v>
      </c>
      <c r="BG86" t="s">
        <v>74</v>
      </c>
      <c r="BH86" t="s">
        <v>74</v>
      </c>
      <c r="BI86" t="s">
        <v>74</v>
      </c>
      <c r="BJ86" t="s">
        <v>2371</v>
      </c>
      <c r="BK86" t="s">
        <v>112</v>
      </c>
      <c r="BL86" t="s">
        <v>2124</v>
      </c>
      <c r="BM86" t="s">
        <v>74</v>
      </c>
      <c r="BN86">
        <v>31894795</v>
      </c>
      <c r="BO86" t="s">
        <v>74</v>
      </c>
      <c r="BP86" t="s">
        <v>420</v>
      </c>
      <c r="BQ86" t="s">
        <v>421</v>
      </c>
      <c r="BR86" t="s">
        <v>93</v>
      </c>
      <c r="BS86" t="s">
        <v>8389</v>
      </c>
      <c r="BT86" t="str">
        <f>HYPERLINK("https%3A%2F%2Fwww.webofscience.com%2Fwos%2Fwoscc%2Ffull-record%2FWOS:000517839900022","View Full Record in Web of Science")</f>
        <v>View Full Record in Web of Science</v>
      </c>
    </row>
    <row r="87" spans="1:72" x14ac:dyDescent="0.15">
      <c r="A87" t="s">
        <v>72</v>
      </c>
      <c r="B87" t="s">
        <v>2910</v>
      </c>
      <c r="C87" t="s">
        <v>74</v>
      </c>
      <c r="D87" t="s">
        <v>74</v>
      </c>
      <c r="E87" t="s">
        <v>74</v>
      </c>
      <c r="F87" t="s">
        <v>2911</v>
      </c>
      <c r="G87" t="s">
        <v>74</v>
      </c>
      <c r="H87" t="s">
        <v>74</v>
      </c>
      <c r="I87" t="s">
        <v>2912</v>
      </c>
      <c r="J87" t="s">
        <v>2013</v>
      </c>
      <c r="K87" t="s">
        <v>74</v>
      </c>
      <c r="L87" t="s">
        <v>74</v>
      </c>
      <c r="M87" t="s">
        <v>74</v>
      </c>
      <c r="N87" t="s">
        <v>78</v>
      </c>
      <c r="O87" t="s">
        <v>74</v>
      </c>
      <c r="P87" t="s">
        <v>74</v>
      </c>
      <c r="Q87" t="s">
        <v>74</v>
      </c>
      <c r="R87" t="s">
        <v>74</v>
      </c>
      <c r="S87" t="s">
        <v>74</v>
      </c>
      <c r="T87" t="s">
        <v>74</v>
      </c>
      <c r="U87" t="s">
        <v>2913</v>
      </c>
      <c r="V87" t="s">
        <v>2914</v>
      </c>
      <c r="W87" t="s">
        <v>2915</v>
      </c>
      <c r="X87" t="s">
        <v>2916</v>
      </c>
      <c r="Y87" t="s">
        <v>2917</v>
      </c>
      <c r="Z87" t="s">
        <v>2918</v>
      </c>
      <c r="AA87" t="s">
        <v>74</v>
      </c>
      <c r="AB87" t="s">
        <v>74</v>
      </c>
      <c r="AC87" t="s">
        <v>74</v>
      </c>
      <c r="AD87" t="s">
        <v>74</v>
      </c>
      <c r="AE87" t="s">
        <v>74</v>
      </c>
      <c r="AF87" t="s">
        <v>74</v>
      </c>
      <c r="AG87">
        <v>38</v>
      </c>
      <c r="AH87">
        <v>85</v>
      </c>
      <c r="AI87">
        <v>88</v>
      </c>
      <c r="AJ87">
        <v>45</v>
      </c>
      <c r="AK87">
        <v>346</v>
      </c>
      <c r="AL87" t="s">
        <v>74</v>
      </c>
      <c r="AM87" t="s">
        <v>74</v>
      </c>
      <c r="AN87" t="s">
        <v>74</v>
      </c>
      <c r="AO87" t="s">
        <v>2022</v>
      </c>
      <c r="AP87" t="s">
        <v>2023</v>
      </c>
      <c r="AQ87" t="s">
        <v>74</v>
      </c>
      <c r="AR87" t="s">
        <v>74</v>
      </c>
      <c r="AS87" t="s">
        <v>74</v>
      </c>
      <c r="AT87" t="s">
        <v>2919</v>
      </c>
      <c r="AU87">
        <v>2019</v>
      </c>
      <c r="AV87">
        <v>91</v>
      </c>
      <c r="AW87">
        <v>22</v>
      </c>
      <c r="AX87" t="s">
        <v>74</v>
      </c>
      <c r="AY87" t="s">
        <v>74</v>
      </c>
      <c r="AZ87" t="s">
        <v>74</v>
      </c>
      <c r="BA87" t="s">
        <v>74</v>
      </c>
      <c r="BB87">
        <v>14773</v>
      </c>
      <c r="BC87">
        <v>14779</v>
      </c>
      <c r="BD87" t="s">
        <v>74</v>
      </c>
      <c r="BE87" t="s">
        <v>2920</v>
      </c>
      <c r="BF87" t="str">
        <f>HYPERLINK("http://dx.doi.org/10.1021/acs.analchem.9b04282","http://dx.doi.org/10.1021/acs.analchem.9b04282")</f>
        <v>http://dx.doi.org/10.1021/acs.analchem.9b04282</v>
      </c>
      <c r="BG87" t="s">
        <v>74</v>
      </c>
      <c r="BH87" t="s">
        <v>74</v>
      </c>
      <c r="BI87" t="s">
        <v>74</v>
      </c>
      <c r="BJ87" t="s">
        <v>1196</v>
      </c>
      <c r="BK87" t="s">
        <v>112</v>
      </c>
      <c r="BL87" t="s">
        <v>1197</v>
      </c>
      <c r="BM87" t="s">
        <v>74</v>
      </c>
      <c r="BN87">
        <v>31660712</v>
      </c>
      <c r="BO87" t="s">
        <v>74</v>
      </c>
      <c r="BP87" t="s">
        <v>74</v>
      </c>
      <c r="BQ87" t="s">
        <v>74</v>
      </c>
      <c r="BR87" t="s">
        <v>93</v>
      </c>
      <c r="BS87" t="s">
        <v>2921</v>
      </c>
      <c r="BT87" t="str">
        <f>HYPERLINK("https%3A%2F%2Fwww.webofscience.com%2Fwos%2Fwoscc%2Ffull-record%2FWOS:000498280100082","View Full Record in Web of Science")</f>
        <v>View Full Record in Web of Science</v>
      </c>
    </row>
    <row r="88" spans="1:72" x14ac:dyDescent="0.15">
      <c r="A88" t="s">
        <v>72</v>
      </c>
      <c r="B88" t="s">
        <v>9784</v>
      </c>
      <c r="C88" t="s">
        <v>74</v>
      </c>
      <c r="D88" t="s">
        <v>74</v>
      </c>
      <c r="E88" t="s">
        <v>74</v>
      </c>
      <c r="F88" t="s">
        <v>9785</v>
      </c>
      <c r="G88" t="s">
        <v>74</v>
      </c>
      <c r="H88" t="s">
        <v>74</v>
      </c>
      <c r="I88" t="s">
        <v>9786</v>
      </c>
      <c r="J88" t="s">
        <v>7612</v>
      </c>
      <c r="K88" t="s">
        <v>74</v>
      </c>
      <c r="L88" t="s">
        <v>74</v>
      </c>
      <c r="M88" t="s">
        <v>74</v>
      </c>
      <c r="N88" t="s">
        <v>78</v>
      </c>
      <c r="O88" t="s">
        <v>74</v>
      </c>
      <c r="P88" t="s">
        <v>74</v>
      </c>
      <c r="Q88" t="s">
        <v>74</v>
      </c>
      <c r="R88" t="s">
        <v>74</v>
      </c>
      <c r="S88" t="s">
        <v>74</v>
      </c>
      <c r="T88" t="s">
        <v>74</v>
      </c>
      <c r="U88" t="s">
        <v>9787</v>
      </c>
      <c r="V88" t="s">
        <v>9788</v>
      </c>
      <c r="W88" t="s">
        <v>9789</v>
      </c>
      <c r="X88" t="s">
        <v>9790</v>
      </c>
      <c r="Y88" t="s">
        <v>9791</v>
      </c>
      <c r="Z88" t="s">
        <v>9792</v>
      </c>
      <c r="AA88" t="s">
        <v>9793</v>
      </c>
      <c r="AB88" t="s">
        <v>9794</v>
      </c>
      <c r="AC88" t="s">
        <v>74</v>
      </c>
      <c r="AD88" t="s">
        <v>74</v>
      </c>
      <c r="AE88" t="s">
        <v>74</v>
      </c>
      <c r="AF88" t="s">
        <v>74</v>
      </c>
      <c r="AG88">
        <v>59</v>
      </c>
      <c r="AH88">
        <v>85</v>
      </c>
      <c r="AI88">
        <v>90</v>
      </c>
      <c r="AJ88">
        <v>0</v>
      </c>
      <c r="AK88">
        <v>32</v>
      </c>
      <c r="AL88" t="s">
        <v>74</v>
      </c>
      <c r="AM88" t="s">
        <v>74</v>
      </c>
      <c r="AN88" t="s">
        <v>74</v>
      </c>
      <c r="AO88" t="s">
        <v>7621</v>
      </c>
      <c r="AP88" t="s">
        <v>7622</v>
      </c>
      <c r="AQ88" t="s">
        <v>74</v>
      </c>
      <c r="AR88" t="s">
        <v>74</v>
      </c>
      <c r="AS88" t="s">
        <v>74</v>
      </c>
      <c r="AT88" t="s">
        <v>9795</v>
      </c>
      <c r="AU88">
        <v>2017</v>
      </c>
      <c r="AV88">
        <v>127</v>
      </c>
      <c r="AW88">
        <v>4</v>
      </c>
      <c r="AX88" t="s">
        <v>74</v>
      </c>
      <c r="AY88" t="s">
        <v>74</v>
      </c>
      <c r="AZ88" t="s">
        <v>74</v>
      </c>
      <c r="BA88" t="s">
        <v>74</v>
      </c>
      <c r="BB88">
        <v>1375</v>
      </c>
      <c r="BC88">
        <v>1391</v>
      </c>
      <c r="BD88" t="s">
        <v>74</v>
      </c>
      <c r="BE88" t="s">
        <v>9796</v>
      </c>
      <c r="BF88" t="str">
        <f>HYPERLINK("http://dx.doi.org/10.1172/JCI87993","http://dx.doi.org/10.1172/JCI87993")</f>
        <v>http://dx.doi.org/10.1172/JCI87993</v>
      </c>
      <c r="BG88" t="s">
        <v>74</v>
      </c>
      <c r="BH88" t="s">
        <v>74</v>
      </c>
      <c r="BI88" t="s">
        <v>74</v>
      </c>
      <c r="BJ88" t="s">
        <v>506</v>
      </c>
      <c r="BK88" t="s">
        <v>112</v>
      </c>
      <c r="BL88" t="s">
        <v>507</v>
      </c>
      <c r="BM88" t="s">
        <v>74</v>
      </c>
      <c r="BN88">
        <v>28319051</v>
      </c>
      <c r="BO88" t="s">
        <v>74</v>
      </c>
      <c r="BP88" t="s">
        <v>74</v>
      </c>
      <c r="BQ88" t="s">
        <v>74</v>
      </c>
      <c r="BR88" t="s">
        <v>93</v>
      </c>
      <c r="BS88" t="s">
        <v>9797</v>
      </c>
      <c r="BT88" t="str">
        <f>HYPERLINK("https%3A%2F%2Fwww.webofscience.com%2Fwos%2Fwoscc%2Ffull-record%2FWOS:000398183300027","View Full Record in Web of Science")</f>
        <v>View Full Record in Web of Science</v>
      </c>
    </row>
    <row r="89" spans="1:72" x14ac:dyDescent="0.15">
      <c r="A89" t="s">
        <v>72</v>
      </c>
      <c r="B89" t="s">
        <v>4370</v>
      </c>
      <c r="C89" t="s">
        <v>74</v>
      </c>
      <c r="D89" t="s">
        <v>74</v>
      </c>
      <c r="E89" t="s">
        <v>74</v>
      </c>
      <c r="F89" t="s">
        <v>4371</v>
      </c>
      <c r="G89" t="s">
        <v>74</v>
      </c>
      <c r="H89" t="s">
        <v>74</v>
      </c>
      <c r="I89" t="s">
        <v>4372</v>
      </c>
      <c r="J89" t="s">
        <v>992</v>
      </c>
      <c r="K89" t="s">
        <v>74</v>
      </c>
      <c r="L89" t="s">
        <v>74</v>
      </c>
      <c r="M89" t="s">
        <v>74</v>
      </c>
      <c r="N89" t="s">
        <v>78</v>
      </c>
      <c r="O89" t="s">
        <v>74</v>
      </c>
      <c r="P89" t="s">
        <v>74</v>
      </c>
      <c r="Q89" t="s">
        <v>74</v>
      </c>
      <c r="R89" t="s">
        <v>74</v>
      </c>
      <c r="S89" t="s">
        <v>74</v>
      </c>
      <c r="T89" t="s">
        <v>4373</v>
      </c>
      <c r="U89" t="s">
        <v>4374</v>
      </c>
      <c r="V89" t="s">
        <v>4375</v>
      </c>
      <c r="W89" t="s">
        <v>4376</v>
      </c>
      <c r="X89" t="s">
        <v>4377</v>
      </c>
      <c r="Y89" t="s">
        <v>4378</v>
      </c>
      <c r="Z89" t="s">
        <v>4379</v>
      </c>
      <c r="AA89" t="s">
        <v>74</v>
      </c>
      <c r="AB89" t="s">
        <v>4380</v>
      </c>
      <c r="AC89" t="s">
        <v>74</v>
      </c>
      <c r="AD89" t="s">
        <v>74</v>
      </c>
      <c r="AE89" t="s">
        <v>74</v>
      </c>
      <c r="AF89" t="s">
        <v>74</v>
      </c>
      <c r="AG89">
        <v>47</v>
      </c>
      <c r="AH89">
        <v>84</v>
      </c>
      <c r="AI89">
        <v>84</v>
      </c>
      <c r="AJ89">
        <v>34</v>
      </c>
      <c r="AK89">
        <v>321</v>
      </c>
      <c r="AL89" t="s">
        <v>74</v>
      </c>
      <c r="AM89" t="s">
        <v>74</v>
      </c>
      <c r="AN89" t="s">
        <v>74</v>
      </c>
      <c r="AO89" t="s">
        <v>1001</v>
      </c>
      <c r="AP89" t="s">
        <v>1002</v>
      </c>
      <c r="AQ89" t="s">
        <v>74</v>
      </c>
      <c r="AR89" t="s">
        <v>74</v>
      </c>
      <c r="AS89" t="s">
        <v>74</v>
      </c>
      <c r="AT89" t="s">
        <v>578</v>
      </c>
      <c r="AU89">
        <v>2019</v>
      </c>
      <c r="AV89">
        <v>135</v>
      </c>
      <c r="AW89" t="s">
        <v>74</v>
      </c>
      <c r="AX89" t="s">
        <v>74</v>
      </c>
      <c r="AY89" t="s">
        <v>74</v>
      </c>
      <c r="AZ89" t="s">
        <v>74</v>
      </c>
      <c r="BA89" t="s">
        <v>74</v>
      </c>
      <c r="BB89">
        <v>129</v>
      </c>
      <c r="BC89">
        <v>136</v>
      </c>
      <c r="BD89" t="s">
        <v>74</v>
      </c>
      <c r="BE89" t="s">
        <v>4381</v>
      </c>
      <c r="BF89" t="str">
        <f>HYPERLINK("http://dx.doi.org/10.1016/j.bios.2019.04.013","http://dx.doi.org/10.1016/j.bios.2019.04.013")</f>
        <v>http://dx.doi.org/10.1016/j.bios.2019.04.013</v>
      </c>
      <c r="BG89" t="s">
        <v>74</v>
      </c>
      <c r="BH89" t="s">
        <v>74</v>
      </c>
      <c r="BI89" t="s">
        <v>74</v>
      </c>
      <c r="BJ89" t="s">
        <v>1006</v>
      </c>
      <c r="BK89" t="s">
        <v>112</v>
      </c>
      <c r="BL89" t="s">
        <v>1007</v>
      </c>
      <c r="BM89" t="s">
        <v>74</v>
      </c>
      <c r="BN89">
        <v>31004923</v>
      </c>
      <c r="BO89" t="s">
        <v>74</v>
      </c>
      <c r="BP89" t="s">
        <v>74</v>
      </c>
      <c r="BQ89" t="s">
        <v>74</v>
      </c>
      <c r="BR89" t="s">
        <v>93</v>
      </c>
      <c r="BS89" t="s">
        <v>4382</v>
      </c>
      <c r="BT89" t="str">
        <f>HYPERLINK("https%3A%2F%2Fwww.webofscience.com%2Fwos%2Fwoscc%2Ffull-record%2FWOS:000469157800017","View Full Record in Web of Science")</f>
        <v>View Full Record in Web of Science</v>
      </c>
    </row>
    <row r="90" spans="1:72" x14ac:dyDescent="0.15">
      <c r="A90" t="s">
        <v>72</v>
      </c>
      <c r="B90" t="s">
        <v>1152</v>
      </c>
      <c r="C90" t="s">
        <v>74</v>
      </c>
      <c r="D90" t="s">
        <v>74</v>
      </c>
      <c r="E90" t="s">
        <v>74</v>
      </c>
      <c r="F90" t="s">
        <v>1153</v>
      </c>
      <c r="G90" t="s">
        <v>74</v>
      </c>
      <c r="H90" t="s">
        <v>74</v>
      </c>
      <c r="I90" t="s">
        <v>1154</v>
      </c>
      <c r="J90" t="s">
        <v>406</v>
      </c>
      <c r="K90" t="s">
        <v>74</v>
      </c>
      <c r="L90" t="s">
        <v>74</v>
      </c>
      <c r="M90" t="s">
        <v>74</v>
      </c>
      <c r="N90" t="s">
        <v>78</v>
      </c>
      <c r="O90" t="s">
        <v>74</v>
      </c>
      <c r="P90" t="s">
        <v>74</v>
      </c>
      <c r="Q90" t="s">
        <v>74</v>
      </c>
      <c r="R90" t="s">
        <v>74</v>
      </c>
      <c r="S90" t="s">
        <v>74</v>
      </c>
      <c r="T90" t="s">
        <v>1155</v>
      </c>
      <c r="U90" t="s">
        <v>1156</v>
      </c>
      <c r="V90" t="s">
        <v>1157</v>
      </c>
      <c r="W90" t="s">
        <v>1158</v>
      </c>
      <c r="X90" t="s">
        <v>1159</v>
      </c>
      <c r="Y90" t="s">
        <v>1160</v>
      </c>
      <c r="Z90" t="s">
        <v>1161</v>
      </c>
      <c r="AA90" t="s">
        <v>1162</v>
      </c>
      <c r="AB90" t="s">
        <v>1163</v>
      </c>
      <c r="AC90" t="s">
        <v>74</v>
      </c>
      <c r="AD90" t="s">
        <v>74</v>
      </c>
      <c r="AE90" t="s">
        <v>74</v>
      </c>
      <c r="AF90" t="s">
        <v>74</v>
      </c>
      <c r="AG90">
        <v>27</v>
      </c>
      <c r="AH90">
        <v>83</v>
      </c>
      <c r="AI90">
        <v>83</v>
      </c>
      <c r="AJ90">
        <v>2</v>
      </c>
      <c r="AK90">
        <v>15</v>
      </c>
      <c r="AL90" t="s">
        <v>74</v>
      </c>
      <c r="AM90" t="s">
        <v>74</v>
      </c>
      <c r="AN90" t="s">
        <v>74</v>
      </c>
      <c r="AO90" t="s">
        <v>74</v>
      </c>
      <c r="AP90" t="s">
        <v>416</v>
      </c>
      <c r="AQ90" t="s">
        <v>74</v>
      </c>
      <c r="AR90" t="s">
        <v>74</v>
      </c>
      <c r="AS90" t="s">
        <v>74</v>
      </c>
      <c r="AT90" t="s">
        <v>74</v>
      </c>
      <c r="AU90">
        <v>2015</v>
      </c>
      <c r="AV90">
        <v>4</v>
      </c>
      <c r="AW90" t="s">
        <v>74</v>
      </c>
      <c r="AX90" t="s">
        <v>74</v>
      </c>
      <c r="AY90" t="s">
        <v>74</v>
      </c>
      <c r="AZ90" t="s">
        <v>74</v>
      </c>
      <c r="BA90" t="s">
        <v>74</v>
      </c>
      <c r="BB90" t="s">
        <v>74</v>
      </c>
      <c r="BC90" t="s">
        <v>74</v>
      </c>
      <c r="BD90">
        <v>26373</v>
      </c>
      <c r="BE90" t="s">
        <v>1164</v>
      </c>
      <c r="BF90" t="str">
        <f>HYPERLINK("http://dx.doi.org/10.3402/jev.v4.26373","http://dx.doi.org/10.3402/jev.v4.26373")</f>
        <v>http://dx.doi.org/10.3402/jev.v4.26373</v>
      </c>
      <c r="BG90" t="s">
        <v>74</v>
      </c>
      <c r="BH90" t="s">
        <v>74</v>
      </c>
      <c r="BI90" t="s">
        <v>74</v>
      </c>
      <c r="BJ90" t="s">
        <v>419</v>
      </c>
      <c r="BK90" t="s">
        <v>91</v>
      </c>
      <c r="BL90" t="s">
        <v>419</v>
      </c>
      <c r="BM90" t="s">
        <v>74</v>
      </c>
      <c r="BN90">
        <v>25819213</v>
      </c>
      <c r="BO90" t="s">
        <v>74</v>
      </c>
      <c r="BP90" t="s">
        <v>74</v>
      </c>
      <c r="BQ90" t="s">
        <v>74</v>
      </c>
      <c r="BR90" t="s">
        <v>93</v>
      </c>
      <c r="BS90" t="s">
        <v>1165</v>
      </c>
      <c r="BT90" t="str">
        <f>HYPERLINK("https%3A%2F%2Fwww.webofscience.com%2Fwos%2Fwoscc%2Ffull-record%2FWOS:000365074000001","View Full Record in Web of Science")</f>
        <v>View Full Record in Web of Science</v>
      </c>
    </row>
    <row r="91" spans="1:72" x14ac:dyDescent="0.15">
      <c r="A91" t="s">
        <v>72</v>
      </c>
      <c r="B91" t="s">
        <v>10806</v>
      </c>
      <c r="C91" t="s">
        <v>74</v>
      </c>
      <c r="D91" t="s">
        <v>74</v>
      </c>
      <c r="E91" t="s">
        <v>74</v>
      </c>
      <c r="F91" t="s">
        <v>10807</v>
      </c>
      <c r="G91" t="s">
        <v>74</v>
      </c>
      <c r="H91" t="s">
        <v>74</v>
      </c>
      <c r="I91" t="s">
        <v>10808</v>
      </c>
      <c r="J91" t="s">
        <v>8771</v>
      </c>
      <c r="K91" t="s">
        <v>74</v>
      </c>
      <c r="L91" t="s">
        <v>74</v>
      </c>
      <c r="M91" t="s">
        <v>74</v>
      </c>
      <c r="N91" t="s">
        <v>78</v>
      </c>
      <c r="O91" t="s">
        <v>74</v>
      </c>
      <c r="P91" t="s">
        <v>74</v>
      </c>
      <c r="Q91" t="s">
        <v>74</v>
      </c>
      <c r="R91" t="s">
        <v>74</v>
      </c>
      <c r="S91" t="s">
        <v>74</v>
      </c>
      <c r="T91" t="s">
        <v>10809</v>
      </c>
      <c r="U91" t="s">
        <v>10810</v>
      </c>
      <c r="V91" t="s">
        <v>10811</v>
      </c>
      <c r="W91" t="s">
        <v>10812</v>
      </c>
      <c r="X91" t="s">
        <v>10813</v>
      </c>
      <c r="Y91" t="s">
        <v>10814</v>
      </c>
      <c r="Z91" t="s">
        <v>10815</v>
      </c>
      <c r="AA91" t="s">
        <v>10816</v>
      </c>
      <c r="AB91" t="s">
        <v>10817</v>
      </c>
      <c r="AC91" t="s">
        <v>74</v>
      </c>
      <c r="AD91" t="s">
        <v>74</v>
      </c>
      <c r="AE91" t="s">
        <v>74</v>
      </c>
      <c r="AF91" t="s">
        <v>74</v>
      </c>
      <c r="AG91">
        <v>42</v>
      </c>
      <c r="AH91">
        <v>83</v>
      </c>
      <c r="AI91">
        <v>85</v>
      </c>
      <c r="AJ91">
        <v>0</v>
      </c>
      <c r="AK91">
        <v>11</v>
      </c>
      <c r="AL91" t="s">
        <v>74</v>
      </c>
      <c r="AM91" t="s">
        <v>74</v>
      </c>
      <c r="AN91" t="s">
        <v>74</v>
      </c>
      <c r="AO91" t="s">
        <v>8780</v>
      </c>
      <c r="AP91" t="s">
        <v>8781</v>
      </c>
      <c r="AQ91" t="s">
        <v>74</v>
      </c>
      <c r="AR91" t="s">
        <v>74</v>
      </c>
      <c r="AS91" t="s">
        <v>74</v>
      </c>
      <c r="AT91" t="s">
        <v>171</v>
      </c>
      <c r="AU91">
        <v>2008</v>
      </c>
      <c r="AV91">
        <v>12</v>
      </c>
      <c r="AW91" t="s">
        <v>10818</v>
      </c>
      <c r="AX91" t="s">
        <v>74</v>
      </c>
      <c r="AY91" t="s">
        <v>74</v>
      </c>
      <c r="AZ91" t="s">
        <v>74</v>
      </c>
      <c r="BA91" t="s">
        <v>74</v>
      </c>
      <c r="BB91">
        <v>2628</v>
      </c>
      <c r="BC91">
        <v>2643</v>
      </c>
      <c r="BD91" t="s">
        <v>74</v>
      </c>
      <c r="BE91" t="s">
        <v>10819</v>
      </c>
      <c r="BF91" t="str">
        <f>HYPERLINK("http://dx.doi.org/10.1111/j.1582-4934.2008.00317.x","http://dx.doi.org/10.1111/j.1582-4934.2008.00317.x")</f>
        <v>http://dx.doi.org/10.1111/j.1582-4934.2008.00317.x</v>
      </c>
      <c r="BG91" t="s">
        <v>74</v>
      </c>
      <c r="BH91" t="s">
        <v>74</v>
      </c>
      <c r="BI91" t="s">
        <v>74</v>
      </c>
      <c r="BJ91" t="s">
        <v>8783</v>
      </c>
      <c r="BK91" t="s">
        <v>112</v>
      </c>
      <c r="BL91" t="s">
        <v>3298</v>
      </c>
      <c r="BM91" t="s">
        <v>74</v>
      </c>
      <c r="BN91">
        <v>18373740</v>
      </c>
      <c r="BO91" t="s">
        <v>74</v>
      </c>
      <c r="BP91" t="s">
        <v>74</v>
      </c>
      <c r="BQ91" t="s">
        <v>74</v>
      </c>
      <c r="BR91" t="s">
        <v>93</v>
      </c>
      <c r="BS91" t="s">
        <v>10820</v>
      </c>
      <c r="BT91" t="str">
        <f>HYPERLINK("https%3A%2F%2Fwww.webofscience.com%2Fwos%2Fwoscc%2Ffull-record%2FWOS:000262311700009","View Full Record in Web of Science")</f>
        <v>View Full Record in Web of Science</v>
      </c>
    </row>
    <row r="92" spans="1:72" x14ac:dyDescent="0.15">
      <c r="A92" t="s">
        <v>72</v>
      </c>
      <c r="B92" t="s">
        <v>944</v>
      </c>
      <c r="C92" t="s">
        <v>74</v>
      </c>
      <c r="D92" t="s">
        <v>74</v>
      </c>
      <c r="E92" t="s">
        <v>74</v>
      </c>
      <c r="F92" t="s">
        <v>945</v>
      </c>
      <c r="G92" t="s">
        <v>74</v>
      </c>
      <c r="H92" t="s">
        <v>74</v>
      </c>
      <c r="I92" t="s">
        <v>946</v>
      </c>
      <c r="J92" t="s">
        <v>406</v>
      </c>
      <c r="K92" t="s">
        <v>74</v>
      </c>
      <c r="L92" t="s">
        <v>74</v>
      </c>
      <c r="M92" t="s">
        <v>74</v>
      </c>
      <c r="N92" t="s">
        <v>78</v>
      </c>
      <c r="O92" t="s">
        <v>74</v>
      </c>
      <c r="P92" t="s">
        <v>74</v>
      </c>
      <c r="Q92" t="s">
        <v>74</v>
      </c>
      <c r="R92" t="s">
        <v>74</v>
      </c>
      <c r="S92" t="s">
        <v>74</v>
      </c>
      <c r="T92" t="s">
        <v>947</v>
      </c>
      <c r="U92" t="s">
        <v>948</v>
      </c>
      <c r="V92" t="s">
        <v>949</v>
      </c>
      <c r="W92" t="s">
        <v>950</v>
      </c>
      <c r="X92" t="s">
        <v>951</v>
      </c>
      <c r="Y92" t="s">
        <v>952</v>
      </c>
      <c r="Z92" t="s">
        <v>449</v>
      </c>
      <c r="AA92" t="s">
        <v>953</v>
      </c>
      <c r="AB92" t="s">
        <v>954</v>
      </c>
      <c r="AC92" t="s">
        <v>74</v>
      </c>
      <c r="AD92" t="s">
        <v>74</v>
      </c>
      <c r="AE92" t="s">
        <v>74</v>
      </c>
      <c r="AF92" t="s">
        <v>74</v>
      </c>
      <c r="AG92">
        <v>67</v>
      </c>
      <c r="AH92">
        <v>82</v>
      </c>
      <c r="AI92">
        <v>84</v>
      </c>
      <c r="AJ92">
        <v>3</v>
      </c>
      <c r="AK92">
        <v>110</v>
      </c>
      <c r="AL92" t="s">
        <v>74</v>
      </c>
      <c r="AM92" t="s">
        <v>74</v>
      </c>
      <c r="AN92" t="s">
        <v>74</v>
      </c>
      <c r="AO92" t="s">
        <v>416</v>
      </c>
      <c r="AP92" t="s">
        <v>74</v>
      </c>
      <c r="AQ92" t="s">
        <v>74</v>
      </c>
      <c r="AR92" t="s">
        <v>74</v>
      </c>
      <c r="AS92" t="s">
        <v>74</v>
      </c>
      <c r="AT92" t="s">
        <v>955</v>
      </c>
      <c r="AU92">
        <v>2019</v>
      </c>
      <c r="AV92">
        <v>8</v>
      </c>
      <c r="AW92">
        <v>1</v>
      </c>
      <c r="AX92" t="s">
        <v>74</v>
      </c>
      <c r="AY92" t="s">
        <v>74</v>
      </c>
      <c r="AZ92" t="s">
        <v>74</v>
      </c>
      <c r="BA92" t="s">
        <v>74</v>
      </c>
      <c r="BB92" t="s">
        <v>74</v>
      </c>
      <c r="BC92" t="s">
        <v>74</v>
      </c>
      <c r="BD92">
        <v>1615820</v>
      </c>
      <c r="BE92" t="s">
        <v>956</v>
      </c>
      <c r="BF92" t="str">
        <f>HYPERLINK("http://dx.doi.org/10.1080/20013078.2019.1615820","http://dx.doi.org/10.1080/20013078.2019.1615820")</f>
        <v>http://dx.doi.org/10.1080/20013078.2019.1615820</v>
      </c>
      <c r="BG92" t="s">
        <v>74</v>
      </c>
      <c r="BH92" t="s">
        <v>74</v>
      </c>
      <c r="BI92" t="s">
        <v>74</v>
      </c>
      <c r="BJ92" t="s">
        <v>419</v>
      </c>
      <c r="BK92" t="s">
        <v>112</v>
      </c>
      <c r="BL92" t="s">
        <v>419</v>
      </c>
      <c r="BM92" t="s">
        <v>74</v>
      </c>
      <c r="BN92">
        <v>31191831</v>
      </c>
      <c r="BO92" t="s">
        <v>74</v>
      </c>
      <c r="BP92" t="s">
        <v>74</v>
      </c>
      <c r="BQ92" t="s">
        <v>74</v>
      </c>
      <c r="BR92" t="s">
        <v>93</v>
      </c>
      <c r="BS92" t="s">
        <v>957</v>
      </c>
      <c r="BT92" t="str">
        <f>HYPERLINK("https%3A%2F%2Fwww.webofscience.com%2Fwos%2Fwoscc%2Ffull-record%2FWOS:000469231700001","View Full Record in Web of Science")</f>
        <v>View Full Record in Web of Science</v>
      </c>
    </row>
    <row r="93" spans="1:72" x14ac:dyDescent="0.15">
      <c r="A93" t="s">
        <v>72</v>
      </c>
      <c r="B93" t="s">
        <v>6427</v>
      </c>
      <c r="C93" t="s">
        <v>74</v>
      </c>
      <c r="D93" t="s">
        <v>74</v>
      </c>
      <c r="E93" t="s">
        <v>74</v>
      </c>
      <c r="F93" t="s">
        <v>6428</v>
      </c>
      <c r="G93" t="s">
        <v>74</v>
      </c>
      <c r="H93" t="s">
        <v>74</v>
      </c>
      <c r="I93" t="s">
        <v>6429</v>
      </c>
      <c r="J93" t="s">
        <v>3752</v>
      </c>
      <c r="K93" t="s">
        <v>74</v>
      </c>
      <c r="L93" t="s">
        <v>74</v>
      </c>
      <c r="M93" t="s">
        <v>74</v>
      </c>
      <c r="N93" t="s">
        <v>78</v>
      </c>
      <c r="O93" t="s">
        <v>74</v>
      </c>
      <c r="P93" t="s">
        <v>74</v>
      </c>
      <c r="Q93" t="s">
        <v>74</v>
      </c>
      <c r="R93" t="s">
        <v>74</v>
      </c>
      <c r="S93" t="s">
        <v>74</v>
      </c>
      <c r="T93" t="s">
        <v>6430</v>
      </c>
      <c r="U93" t="s">
        <v>6431</v>
      </c>
      <c r="V93" t="s">
        <v>6432</v>
      </c>
      <c r="W93" t="s">
        <v>6433</v>
      </c>
      <c r="X93" t="s">
        <v>6434</v>
      </c>
      <c r="Y93" t="s">
        <v>6435</v>
      </c>
      <c r="Z93" t="s">
        <v>6436</v>
      </c>
      <c r="AA93" t="s">
        <v>74</v>
      </c>
      <c r="AB93" t="s">
        <v>6437</v>
      </c>
      <c r="AC93" t="s">
        <v>74</v>
      </c>
      <c r="AD93" t="s">
        <v>74</v>
      </c>
      <c r="AE93" t="s">
        <v>74</v>
      </c>
      <c r="AF93" t="s">
        <v>74</v>
      </c>
      <c r="AG93">
        <v>50</v>
      </c>
      <c r="AH93">
        <v>82</v>
      </c>
      <c r="AI93">
        <v>84</v>
      </c>
      <c r="AJ93">
        <v>12</v>
      </c>
      <c r="AK93">
        <v>163</v>
      </c>
      <c r="AL93" t="s">
        <v>74</v>
      </c>
      <c r="AM93" t="s">
        <v>74</v>
      </c>
      <c r="AN93" t="s">
        <v>74</v>
      </c>
      <c r="AO93" t="s">
        <v>3759</v>
      </c>
      <c r="AP93" t="s">
        <v>74</v>
      </c>
      <c r="AQ93" t="s">
        <v>74</v>
      </c>
      <c r="AR93" t="s">
        <v>74</v>
      </c>
      <c r="AS93" t="s">
        <v>74</v>
      </c>
      <c r="AT93" t="s">
        <v>2087</v>
      </c>
      <c r="AU93">
        <v>2018</v>
      </c>
      <c r="AV93">
        <v>10</v>
      </c>
      <c r="AW93">
        <v>46</v>
      </c>
      <c r="AX93" t="s">
        <v>74</v>
      </c>
      <c r="AY93" t="s">
        <v>74</v>
      </c>
      <c r="AZ93" t="s">
        <v>74</v>
      </c>
      <c r="BA93" t="s">
        <v>74</v>
      </c>
      <c r="BB93">
        <v>39478</v>
      </c>
      <c r="BC93">
        <v>39486</v>
      </c>
      <c r="BD93" t="s">
        <v>74</v>
      </c>
      <c r="BE93" t="s">
        <v>6438</v>
      </c>
      <c r="BF93" t="str">
        <f>HYPERLINK("http://dx.doi.org/10.1021/acsami.8b12725","http://dx.doi.org/10.1021/acsami.8b12725")</f>
        <v>http://dx.doi.org/10.1021/acsami.8b12725</v>
      </c>
      <c r="BG93" t="s">
        <v>74</v>
      </c>
      <c r="BH93" t="s">
        <v>74</v>
      </c>
      <c r="BI93" t="s">
        <v>74</v>
      </c>
      <c r="BJ93" t="s">
        <v>3763</v>
      </c>
      <c r="BK93" t="s">
        <v>112</v>
      </c>
      <c r="BL93" t="s">
        <v>3764</v>
      </c>
      <c r="BM93" t="s">
        <v>74</v>
      </c>
      <c r="BN93">
        <v>30350935</v>
      </c>
      <c r="BO93" t="s">
        <v>74</v>
      </c>
      <c r="BP93" t="s">
        <v>74</v>
      </c>
      <c r="BQ93" t="s">
        <v>74</v>
      </c>
      <c r="BR93" t="s">
        <v>93</v>
      </c>
      <c r="BS93" t="s">
        <v>6439</v>
      </c>
      <c r="BT93" t="str">
        <f>HYPERLINK("https%3A%2F%2Fwww.webofscience.com%2Fwos%2Fwoscc%2Ffull-record%2FWOS:000451496000010","View Full Record in Web of Science")</f>
        <v>View Full Record in Web of Science</v>
      </c>
    </row>
    <row r="94" spans="1:72" x14ac:dyDescent="0.15">
      <c r="A94" t="s">
        <v>72</v>
      </c>
      <c r="B94" t="s">
        <v>3371</v>
      </c>
      <c r="C94" t="s">
        <v>74</v>
      </c>
      <c r="D94" t="s">
        <v>74</v>
      </c>
      <c r="E94" t="s">
        <v>74</v>
      </c>
      <c r="F94" t="s">
        <v>3372</v>
      </c>
      <c r="G94" t="s">
        <v>74</v>
      </c>
      <c r="H94" t="s">
        <v>74</v>
      </c>
      <c r="I94" t="s">
        <v>3373</v>
      </c>
      <c r="J94" t="s">
        <v>3374</v>
      </c>
      <c r="K94" t="s">
        <v>74</v>
      </c>
      <c r="L94" t="s">
        <v>74</v>
      </c>
      <c r="M94" t="s">
        <v>74</v>
      </c>
      <c r="N94" t="s">
        <v>78</v>
      </c>
      <c r="O94" t="s">
        <v>74</v>
      </c>
      <c r="P94" t="s">
        <v>74</v>
      </c>
      <c r="Q94" t="s">
        <v>74</v>
      </c>
      <c r="R94" t="s">
        <v>74</v>
      </c>
      <c r="S94" t="s">
        <v>74</v>
      </c>
      <c r="T94" t="s">
        <v>3375</v>
      </c>
      <c r="U94" t="s">
        <v>3376</v>
      </c>
      <c r="V94" t="s">
        <v>3377</v>
      </c>
      <c r="W94" t="s">
        <v>3378</v>
      </c>
      <c r="X94" t="s">
        <v>3379</v>
      </c>
      <c r="Y94" t="s">
        <v>3380</v>
      </c>
      <c r="Z94" t="s">
        <v>3381</v>
      </c>
      <c r="AA94" t="s">
        <v>74</v>
      </c>
      <c r="AB94" t="s">
        <v>3382</v>
      </c>
      <c r="AC94" t="s">
        <v>74</v>
      </c>
      <c r="AD94" t="s">
        <v>74</v>
      </c>
      <c r="AE94" t="s">
        <v>74</v>
      </c>
      <c r="AF94" t="s">
        <v>74</v>
      </c>
      <c r="AG94">
        <v>77</v>
      </c>
      <c r="AH94">
        <v>81</v>
      </c>
      <c r="AI94">
        <v>81</v>
      </c>
      <c r="AJ94">
        <v>3</v>
      </c>
      <c r="AK94">
        <v>19</v>
      </c>
      <c r="AL94" t="s">
        <v>74</v>
      </c>
      <c r="AM94" t="s">
        <v>74</v>
      </c>
      <c r="AN94" t="s">
        <v>74</v>
      </c>
      <c r="AO94" t="s">
        <v>3383</v>
      </c>
      <c r="AP94" t="s">
        <v>74</v>
      </c>
      <c r="AQ94" t="s">
        <v>74</v>
      </c>
      <c r="AR94" t="s">
        <v>74</v>
      </c>
      <c r="AS94" t="s">
        <v>74</v>
      </c>
      <c r="AT94" t="s">
        <v>659</v>
      </c>
      <c r="AU94">
        <v>2018</v>
      </c>
      <c r="AV94">
        <v>18</v>
      </c>
      <c r="AW94" t="s">
        <v>74</v>
      </c>
      <c r="AX94" t="s">
        <v>74</v>
      </c>
      <c r="AY94" t="s">
        <v>74</v>
      </c>
      <c r="AZ94" t="s">
        <v>74</v>
      </c>
      <c r="BA94" t="s">
        <v>74</v>
      </c>
      <c r="BB94">
        <v>54</v>
      </c>
      <c r="BC94">
        <v>64</v>
      </c>
      <c r="BD94" t="s">
        <v>74</v>
      </c>
      <c r="BE94" t="s">
        <v>3384</v>
      </c>
      <c r="BF94" t="str">
        <f>HYPERLINK("http://dx.doi.org/10.1016/j.redox.2018.06.009","http://dx.doi.org/10.1016/j.redox.2018.06.009")</f>
        <v>http://dx.doi.org/10.1016/j.redox.2018.06.009</v>
      </c>
      <c r="BG94" t="s">
        <v>74</v>
      </c>
      <c r="BH94" t="s">
        <v>74</v>
      </c>
      <c r="BI94" t="s">
        <v>74</v>
      </c>
      <c r="BJ94" t="s">
        <v>92</v>
      </c>
      <c r="BK94" t="s">
        <v>112</v>
      </c>
      <c r="BL94" t="s">
        <v>92</v>
      </c>
      <c r="BM94" t="s">
        <v>74</v>
      </c>
      <c r="BN94">
        <v>29986209</v>
      </c>
      <c r="BO94" t="s">
        <v>74</v>
      </c>
      <c r="BP94" t="s">
        <v>74</v>
      </c>
      <c r="BQ94" t="s">
        <v>74</v>
      </c>
      <c r="BR94" t="s">
        <v>93</v>
      </c>
      <c r="BS94" t="s">
        <v>3385</v>
      </c>
      <c r="BT94" t="str">
        <f>HYPERLINK("https%3A%2F%2Fwww.webofscience.com%2Fwos%2Fwoscc%2Ffull-record%2FWOS:000447820100007","View Full Record in Web of Science")</f>
        <v>View Full Record in Web of Science</v>
      </c>
    </row>
    <row r="95" spans="1:72" x14ac:dyDescent="0.15">
      <c r="A95" t="s">
        <v>72</v>
      </c>
      <c r="B95" t="s">
        <v>8021</v>
      </c>
      <c r="C95" t="s">
        <v>74</v>
      </c>
      <c r="D95" t="s">
        <v>74</v>
      </c>
      <c r="E95" t="s">
        <v>74</v>
      </c>
      <c r="F95" t="s">
        <v>8022</v>
      </c>
      <c r="G95" t="s">
        <v>74</v>
      </c>
      <c r="H95" t="s">
        <v>74</v>
      </c>
      <c r="I95" t="s">
        <v>8023</v>
      </c>
      <c r="J95" t="s">
        <v>1828</v>
      </c>
      <c r="K95" t="s">
        <v>74</v>
      </c>
      <c r="L95" t="s">
        <v>74</v>
      </c>
      <c r="M95" t="s">
        <v>74</v>
      </c>
      <c r="N95" t="s">
        <v>78</v>
      </c>
      <c r="O95" t="s">
        <v>74</v>
      </c>
      <c r="P95" t="s">
        <v>74</v>
      </c>
      <c r="Q95" t="s">
        <v>74</v>
      </c>
      <c r="R95" t="s">
        <v>74</v>
      </c>
      <c r="S95" t="s">
        <v>74</v>
      </c>
      <c r="T95" t="s">
        <v>74</v>
      </c>
      <c r="U95" t="s">
        <v>8024</v>
      </c>
      <c r="V95" t="s">
        <v>8025</v>
      </c>
      <c r="W95" t="s">
        <v>8026</v>
      </c>
      <c r="X95" t="s">
        <v>8027</v>
      </c>
      <c r="Y95" t="s">
        <v>8028</v>
      </c>
      <c r="Z95" t="s">
        <v>8029</v>
      </c>
      <c r="AA95" t="s">
        <v>8030</v>
      </c>
      <c r="AB95" t="s">
        <v>8031</v>
      </c>
      <c r="AC95" t="s">
        <v>74</v>
      </c>
      <c r="AD95" t="s">
        <v>74</v>
      </c>
      <c r="AE95" t="s">
        <v>74</v>
      </c>
      <c r="AF95" t="s">
        <v>74</v>
      </c>
      <c r="AG95">
        <v>59</v>
      </c>
      <c r="AH95">
        <v>81</v>
      </c>
      <c r="AI95">
        <v>81</v>
      </c>
      <c r="AJ95">
        <v>6</v>
      </c>
      <c r="AK95">
        <v>42</v>
      </c>
      <c r="AL95" t="s">
        <v>74</v>
      </c>
      <c r="AM95" t="s">
        <v>74</v>
      </c>
      <c r="AN95" t="s">
        <v>74</v>
      </c>
      <c r="AO95" t="s">
        <v>1837</v>
      </c>
      <c r="AP95" t="s">
        <v>74</v>
      </c>
      <c r="AQ95" t="s">
        <v>74</v>
      </c>
      <c r="AR95" t="s">
        <v>74</v>
      </c>
      <c r="AS95" t="s">
        <v>74</v>
      </c>
      <c r="AT95" t="s">
        <v>8032</v>
      </c>
      <c r="AU95">
        <v>2017</v>
      </c>
      <c r="AV95">
        <v>7</v>
      </c>
      <c r="AW95" t="s">
        <v>74</v>
      </c>
      <c r="AX95" t="s">
        <v>74</v>
      </c>
      <c r="AY95" t="s">
        <v>74</v>
      </c>
      <c r="AZ95" t="s">
        <v>74</v>
      </c>
      <c r="BA95" t="s">
        <v>74</v>
      </c>
      <c r="BB95" t="s">
        <v>74</v>
      </c>
      <c r="BC95" t="s">
        <v>74</v>
      </c>
      <c r="BD95">
        <v>17479</v>
      </c>
      <c r="BE95" t="s">
        <v>8033</v>
      </c>
      <c r="BF95" t="str">
        <f>HYPERLINK("http://dx.doi.org/10.1038/s41598-017-14981-x","http://dx.doi.org/10.1038/s41598-017-14981-x")</f>
        <v>http://dx.doi.org/10.1038/s41598-017-14981-x</v>
      </c>
      <c r="BG95" t="s">
        <v>74</v>
      </c>
      <c r="BH95" t="s">
        <v>74</v>
      </c>
      <c r="BI95" t="s">
        <v>74</v>
      </c>
      <c r="BJ95" t="s">
        <v>545</v>
      </c>
      <c r="BK95" t="s">
        <v>112</v>
      </c>
      <c r="BL95" t="s">
        <v>546</v>
      </c>
      <c r="BM95" t="s">
        <v>74</v>
      </c>
      <c r="BN95">
        <v>29234015</v>
      </c>
      <c r="BO95" t="s">
        <v>74</v>
      </c>
      <c r="BP95" t="s">
        <v>74</v>
      </c>
      <c r="BQ95" t="s">
        <v>74</v>
      </c>
      <c r="BR95" t="s">
        <v>93</v>
      </c>
      <c r="BS95" t="s">
        <v>8034</v>
      </c>
      <c r="BT95" t="str">
        <f>HYPERLINK("https%3A%2F%2Fwww.webofscience.com%2Fwos%2Fwoscc%2Ffull-record%2FWOS:000417689400103","View Full Record in Web of Science")</f>
        <v>View Full Record in Web of Science</v>
      </c>
    </row>
    <row r="96" spans="1:72" x14ac:dyDescent="0.15">
      <c r="A96" t="s">
        <v>72</v>
      </c>
      <c r="B96" t="s">
        <v>6309</v>
      </c>
      <c r="C96" t="s">
        <v>74</v>
      </c>
      <c r="D96" t="s">
        <v>74</v>
      </c>
      <c r="E96" t="s">
        <v>74</v>
      </c>
      <c r="F96" t="s">
        <v>6310</v>
      </c>
      <c r="G96" t="s">
        <v>74</v>
      </c>
      <c r="H96" t="s">
        <v>74</v>
      </c>
      <c r="I96" t="s">
        <v>6311</v>
      </c>
      <c r="J96" t="s">
        <v>6312</v>
      </c>
      <c r="K96" t="s">
        <v>74</v>
      </c>
      <c r="L96" t="s">
        <v>74</v>
      </c>
      <c r="M96" t="s">
        <v>74</v>
      </c>
      <c r="N96" t="s">
        <v>78</v>
      </c>
      <c r="O96" t="s">
        <v>74</v>
      </c>
      <c r="P96" t="s">
        <v>74</v>
      </c>
      <c r="Q96" t="s">
        <v>74</v>
      </c>
      <c r="R96" t="s">
        <v>74</v>
      </c>
      <c r="S96" t="s">
        <v>74</v>
      </c>
      <c r="T96" t="s">
        <v>6313</v>
      </c>
      <c r="U96" t="s">
        <v>6314</v>
      </c>
      <c r="V96" t="s">
        <v>6315</v>
      </c>
      <c r="W96" t="s">
        <v>6316</v>
      </c>
      <c r="X96" t="s">
        <v>6317</v>
      </c>
      <c r="Y96" t="s">
        <v>6318</v>
      </c>
      <c r="Z96" t="s">
        <v>6319</v>
      </c>
      <c r="AA96" t="s">
        <v>74</v>
      </c>
      <c r="AB96" t="s">
        <v>74</v>
      </c>
      <c r="AC96" t="s">
        <v>74</v>
      </c>
      <c r="AD96" t="s">
        <v>74</v>
      </c>
      <c r="AE96" t="s">
        <v>74</v>
      </c>
      <c r="AF96" t="s">
        <v>74</v>
      </c>
      <c r="AG96">
        <v>48</v>
      </c>
      <c r="AH96">
        <v>79</v>
      </c>
      <c r="AI96">
        <v>82</v>
      </c>
      <c r="AJ96">
        <v>2</v>
      </c>
      <c r="AK96">
        <v>13</v>
      </c>
      <c r="AL96" t="s">
        <v>74</v>
      </c>
      <c r="AM96" t="s">
        <v>74</v>
      </c>
      <c r="AN96" t="s">
        <v>74</v>
      </c>
      <c r="AO96" t="s">
        <v>74</v>
      </c>
      <c r="AP96" t="s">
        <v>6320</v>
      </c>
      <c r="AQ96" t="s">
        <v>74</v>
      </c>
      <c r="AR96" t="s">
        <v>74</v>
      </c>
      <c r="AS96" t="s">
        <v>74</v>
      </c>
      <c r="AT96" t="s">
        <v>74</v>
      </c>
      <c r="AU96">
        <v>2016</v>
      </c>
      <c r="AV96">
        <v>36</v>
      </c>
      <c r="AW96" t="s">
        <v>74</v>
      </c>
      <c r="AX96" t="s">
        <v>74</v>
      </c>
      <c r="AY96" t="s">
        <v>74</v>
      </c>
      <c r="AZ96" t="s">
        <v>74</v>
      </c>
      <c r="BA96" t="s">
        <v>74</v>
      </c>
      <c r="BB96" t="s">
        <v>74</v>
      </c>
      <c r="BC96" t="s">
        <v>74</v>
      </c>
      <c r="BD96">
        <v>26</v>
      </c>
      <c r="BE96" t="s">
        <v>6321</v>
      </c>
      <c r="BF96" t="str">
        <f>HYPERLINK("http://dx.doi.org/10.1186/s41232-016-0030-5","http://dx.doi.org/10.1186/s41232-016-0030-5")</f>
        <v>http://dx.doi.org/10.1186/s41232-016-0030-5</v>
      </c>
      <c r="BG96" t="s">
        <v>74</v>
      </c>
      <c r="BH96" t="s">
        <v>74</v>
      </c>
      <c r="BI96" t="s">
        <v>74</v>
      </c>
      <c r="BJ96" t="s">
        <v>6322</v>
      </c>
      <c r="BK96" t="s">
        <v>91</v>
      </c>
      <c r="BL96" t="s">
        <v>6323</v>
      </c>
      <c r="BM96" t="s">
        <v>74</v>
      </c>
      <c r="BN96">
        <v>29259699</v>
      </c>
      <c r="BO96" t="s">
        <v>74</v>
      </c>
      <c r="BP96" t="s">
        <v>74</v>
      </c>
      <c r="BQ96" t="s">
        <v>74</v>
      </c>
      <c r="BR96" t="s">
        <v>93</v>
      </c>
      <c r="BS96" t="s">
        <v>6324</v>
      </c>
      <c r="BT96" t="str">
        <f>HYPERLINK("https%3A%2F%2Fwww.webofscience.com%2Fwos%2Fwoscc%2Ffull-record%2FWOS:000449587700026","View Full Record in Web of Science")</f>
        <v>View Full Record in Web of Science</v>
      </c>
    </row>
    <row r="97" spans="1:72" x14ac:dyDescent="0.15">
      <c r="A97" t="s">
        <v>72</v>
      </c>
      <c r="B97" t="s">
        <v>10234</v>
      </c>
      <c r="C97" t="s">
        <v>74</v>
      </c>
      <c r="D97" t="s">
        <v>74</v>
      </c>
      <c r="E97" t="s">
        <v>74</v>
      </c>
      <c r="F97" t="s">
        <v>10235</v>
      </c>
      <c r="G97" t="s">
        <v>74</v>
      </c>
      <c r="H97" t="s">
        <v>74</v>
      </c>
      <c r="I97" t="s">
        <v>10236</v>
      </c>
      <c r="J97" t="s">
        <v>10237</v>
      </c>
      <c r="K97" t="s">
        <v>74</v>
      </c>
      <c r="L97" t="s">
        <v>74</v>
      </c>
      <c r="M97" t="s">
        <v>74</v>
      </c>
      <c r="N97" t="s">
        <v>78</v>
      </c>
      <c r="O97" t="s">
        <v>74</v>
      </c>
      <c r="P97" t="s">
        <v>74</v>
      </c>
      <c r="Q97" t="s">
        <v>74</v>
      </c>
      <c r="R97" t="s">
        <v>74</v>
      </c>
      <c r="S97" t="s">
        <v>74</v>
      </c>
      <c r="T97" t="s">
        <v>10238</v>
      </c>
      <c r="U97" t="s">
        <v>10239</v>
      </c>
      <c r="V97" t="s">
        <v>10240</v>
      </c>
      <c r="W97" t="s">
        <v>10241</v>
      </c>
      <c r="X97" t="s">
        <v>10242</v>
      </c>
      <c r="Y97" t="s">
        <v>10243</v>
      </c>
      <c r="Z97" t="s">
        <v>10244</v>
      </c>
      <c r="AA97" t="s">
        <v>10245</v>
      </c>
      <c r="AB97" t="s">
        <v>10246</v>
      </c>
      <c r="AC97" t="s">
        <v>74</v>
      </c>
      <c r="AD97" t="s">
        <v>74</v>
      </c>
      <c r="AE97" t="s">
        <v>74</v>
      </c>
      <c r="AF97" t="s">
        <v>74</v>
      </c>
      <c r="AG97">
        <v>48</v>
      </c>
      <c r="AH97">
        <v>78</v>
      </c>
      <c r="AI97">
        <v>84</v>
      </c>
      <c r="AJ97">
        <v>1</v>
      </c>
      <c r="AK97">
        <v>12</v>
      </c>
      <c r="AL97" t="s">
        <v>74</v>
      </c>
      <c r="AM97" t="s">
        <v>74</v>
      </c>
      <c r="AN97" t="s">
        <v>74</v>
      </c>
      <c r="AO97" t="s">
        <v>74</v>
      </c>
      <c r="AP97" t="s">
        <v>10247</v>
      </c>
      <c r="AQ97" t="s">
        <v>74</v>
      </c>
      <c r="AR97" t="s">
        <v>74</v>
      </c>
      <c r="AS97" t="s">
        <v>74</v>
      </c>
      <c r="AT97" t="s">
        <v>8450</v>
      </c>
      <c r="AU97">
        <v>2016</v>
      </c>
      <c r="AV97">
        <v>11</v>
      </c>
      <c r="AW97" t="s">
        <v>74</v>
      </c>
      <c r="AX97" t="s">
        <v>74</v>
      </c>
      <c r="AY97" t="s">
        <v>74</v>
      </c>
      <c r="AZ97" t="s">
        <v>74</v>
      </c>
      <c r="BA97" t="s">
        <v>74</v>
      </c>
      <c r="BB97" t="s">
        <v>74</v>
      </c>
      <c r="BC97" t="s">
        <v>74</v>
      </c>
      <c r="BD97">
        <v>61</v>
      </c>
      <c r="BE97" t="s">
        <v>10248</v>
      </c>
      <c r="BF97" t="str">
        <f>HYPERLINK("http://dx.doi.org/10.1186/s13014-016-0636-4","http://dx.doi.org/10.1186/s13014-016-0636-4")</f>
        <v>http://dx.doi.org/10.1186/s13014-016-0636-4</v>
      </c>
      <c r="BG97" t="s">
        <v>74</v>
      </c>
      <c r="BH97" t="s">
        <v>74</v>
      </c>
      <c r="BI97" t="s">
        <v>74</v>
      </c>
      <c r="BJ97" t="s">
        <v>10249</v>
      </c>
      <c r="BK97" t="s">
        <v>112</v>
      </c>
      <c r="BL97" t="s">
        <v>10249</v>
      </c>
      <c r="BM97" t="s">
        <v>74</v>
      </c>
      <c r="BN97">
        <v>27117590</v>
      </c>
      <c r="BO97" t="s">
        <v>74</v>
      </c>
      <c r="BP97" t="s">
        <v>74</v>
      </c>
      <c r="BQ97" t="s">
        <v>74</v>
      </c>
      <c r="BR97" t="s">
        <v>93</v>
      </c>
      <c r="BS97" t="s">
        <v>10250</v>
      </c>
      <c r="BT97" t="str">
        <f>HYPERLINK("https%3A%2F%2Fwww.webofscience.com%2Fwos%2Fwoscc%2Ffull-record%2FWOS:000374929400001","View Full Record in Web of Science")</f>
        <v>View Full Record in Web of Science</v>
      </c>
    </row>
    <row r="98" spans="1:72" x14ac:dyDescent="0.15">
      <c r="A98" t="s">
        <v>72</v>
      </c>
      <c r="B98" t="s">
        <v>5304</v>
      </c>
      <c r="C98" t="s">
        <v>74</v>
      </c>
      <c r="D98" t="s">
        <v>74</v>
      </c>
      <c r="E98" t="s">
        <v>74</v>
      </c>
      <c r="F98" t="s">
        <v>5305</v>
      </c>
      <c r="G98" t="s">
        <v>74</v>
      </c>
      <c r="H98" t="s">
        <v>74</v>
      </c>
      <c r="I98" t="s">
        <v>5306</v>
      </c>
      <c r="J98" t="s">
        <v>1184</v>
      </c>
      <c r="K98" t="s">
        <v>74</v>
      </c>
      <c r="L98" t="s">
        <v>74</v>
      </c>
      <c r="M98" t="s">
        <v>74</v>
      </c>
      <c r="N98" t="s">
        <v>78</v>
      </c>
      <c r="O98" t="s">
        <v>74</v>
      </c>
      <c r="P98" t="s">
        <v>74</v>
      </c>
      <c r="Q98" t="s">
        <v>74</v>
      </c>
      <c r="R98" t="s">
        <v>74</v>
      </c>
      <c r="S98" t="s">
        <v>74</v>
      </c>
      <c r="T98" t="s">
        <v>5307</v>
      </c>
      <c r="U98" t="s">
        <v>5308</v>
      </c>
      <c r="V98" t="s">
        <v>5309</v>
      </c>
      <c r="W98" t="s">
        <v>5310</v>
      </c>
      <c r="X98" t="s">
        <v>5311</v>
      </c>
      <c r="Y98" t="s">
        <v>5312</v>
      </c>
      <c r="Z98" t="s">
        <v>5313</v>
      </c>
      <c r="AA98" t="s">
        <v>74</v>
      </c>
      <c r="AB98" t="s">
        <v>74</v>
      </c>
      <c r="AC98" t="s">
        <v>74</v>
      </c>
      <c r="AD98" t="s">
        <v>74</v>
      </c>
      <c r="AE98" t="s">
        <v>74</v>
      </c>
      <c r="AF98" t="s">
        <v>74</v>
      </c>
      <c r="AG98">
        <v>37</v>
      </c>
      <c r="AH98">
        <v>77</v>
      </c>
      <c r="AI98">
        <v>78</v>
      </c>
      <c r="AJ98">
        <v>16</v>
      </c>
      <c r="AK98">
        <v>315</v>
      </c>
      <c r="AL98" t="s">
        <v>74</v>
      </c>
      <c r="AM98" t="s">
        <v>74</v>
      </c>
      <c r="AN98" t="s">
        <v>74</v>
      </c>
      <c r="AO98" t="s">
        <v>1193</v>
      </c>
      <c r="AP98" t="s">
        <v>1194</v>
      </c>
      <c r="AQ98" t="s">
        <v>74</v>
      </c>
      <c r="AR98" t="s">
        <v>74</v>
      </c>
      <c r="AS98" t="s">
        <v>74</v>
      </c>
      <c r="AT98" t="s">
        <v>5314</v>
      </c>
      <c r="AU98">
        <v>2018</v>
      </c>
      <c r="AV98">
        <v>184</v>
      </c>
      <c r="AW98" t="s">
        <v>74</v>
      </c>
      <c r="AX98" t="s">
        <v>74</v>
      </c>
      <c r="AY98" t="s">
        <v>74</v>
      </c>
      <c r="AZ98" t="s">
        <v>74</v>
      </c>
      <c r="BA98" t="s">
        <v>74</v>
      </c>
      <c r="BB98">
        <v>219</v>
      </c>
      <c r="BC98">
        <v>226</v>
      </c>
      <c r="BD98" t="s">
        <v>74</v>
      </c>
      <c r="BE98" t="s">
        <v>5315</v>
      </c>
      <c r="BF98" t="str">
        <f>HYPERLINK("http://dx.doi.org/10.1016/j.talanta.2018.02.083","http://dx.doi.org/10.1016/j.talanta.2018.02.083")</f>
        <v>http://dx.doi.org/10.1016/j.talanta.2018.02.083</v>
      </c>
      <c r="BG98" t="s">
        <v>74</v>
      </c>
      <c r="BH98" t="s">
        <v>74</v>
      </c>
      <c r="BI98" t="s">
        <v>74</v>
      </c>
      <c r="BJ98" t="s">
        <v>1196</v>
      </c>
      <c r="BK98" t="s">
        <v>112</v>
      </c>
      <c r="BL98" t="s">
        <v>1197</v>
      </c>
      <c r="BM98" t="s">
        <v>74</v>
      </c>
      <c r="BN98">
        <v>29674035</v>
      </c>
      <c r="BO98" t="s">
        <v>74</v>
      </c>
      <c r="BP98" t="s">
        <v>74</v>
      </c>
      <c r="BQ98" t="s">
        <v>74</v>
      </c>
      <c r="BR98" t="s">
        <v>93</v>
      </c>
      <c r="BS98" t="s">
        <v>5316</v>
      </c>
      <c r="BT98" t="str">
        <f>HYPERLINK("https%3A%2F%2Fwww.webofscience.com%2Fwos%2Fwoscc%2Ffull-record%2FWOS:000432234900029","View Full Record in Web of Science")</f>
        <v>View Full Record in Web of Science</v>
      </c>
    </row>
    <row r="99" spans="1:72" x14ac:dyDescent="0.15">
      <c r="A99" t="s">
        <v>72</v>
      </c>
      <c r="B99" t="s">
        <v>8596</v>
      </c>
      <c r="C99" t="s">
        <v>74</v>
      </c>
      <c r="D99" t="s">
        <v>74</v>
      </c>
      <c r="E99" t="s">
        <v>74</v>
      </c>
      <c r="F99" t="s">
        <v>8596</v>
      </c>
      <c r="G99" t="s">
        <v>74</v>
      </c>
      <c r="H99" t="s">
        <v>74</v>
      </c>
      <c r="I99" t="s">
        <v>8597</v>
      </c>
      <c r="J99" t="s">
        <v>8598</v>
      </c>
      <c r="K99" t="s">
        <v>74</v>
      </c>
      <c r="L99" t="s">
        <v>74</v>
      </c>
      <c r="M99" t="s">
        <v>74</v>
      </c>
      <c r="N99" t="s">
        <v>78</v>
      </c>
      <c r="O99" t="s">
        <v>74</v>
      </c>
      <c r="P99" t="s">
        <v>74</v>
      </c>
      <c r="Q99" t="s">
        <v>74</v>
      </c>
      <c r="R99" t="s">
        <v>74</v>
      </c>
      <c r="S99" t="s">
        <v>74</v>
      </c>
      <c r="T99" t="s">
        <v>8599</v>
      </c>
      <c r="U99" t="s">
        <v>8600</v>
      </c>
      <c r="V99" t="s">
        <v>8601</v>
      </c>
      <c r="W99" t="s">
        <v>8602</v>
      </c>
      <c r="X99" t="s">
        <v>8603</v>
      </c>
      <c r="Y99" t="s">
        <v>8604</v>
      </c>
      <c r="Z99" t="s">
        <v>74</v>
      </c>
      <c r="AA99" t="s">
        <v>74</v>
      </c>
      <c r="AB99" t="s">
        <v>8605</v>
      </c>
      <c r="AC99" t="s">
        <v>74</v>
      </c>
      <c r="AD99" t="s">
        <v>74</v>
      </c>
      <c r="AE99" t="s">
        <v>74</v>
      </c>
      <c r="AF99" t="s">
        <v>74</v>
      </c>
      <c r="AG99">
        <v>23</v>
      </c>
      <c r="AH99">
        <v>75</v>
      </c>
      <c r="AI99">
        <v>76</v>
      </c>
      <c r="AJ99">
        <v>0</v>
      </c>
      <c r="AK99">
        <v>1</v>
      </c>
      <c r="AL99" t="s">
        <v>74</v>
      </c>
      <c r="AM99" t="s">
        <v>74</v>
      </c>
      <c r="AN99" t="s">
        <v>74</v>
      </c>
      <c r="AO99" t="s">
        <v>8606</v>
      </c>
      <c r="AP99" t="s">
        <v>74</v>
      </c>
      <c r="AQ99" t="s">
        <v>74</v>
      </c>
      <c r="AR99" t="s">
        <v>74</v>
      </c>
      <c r="AS99" t="s">
        <v>74</v>
      </c>
      <c r="AT99" t="s">
        <v>6277</v>
      </c>
      <c r="AU99">
        <v>1998</v>
      </c>
      <c r="AV99">
        <v>254</v>
      </c>
      <c r="AW99">
        <v>1</v>
      </c>
      <c r="AX99" t="s">
        <v>74</v>
      </c>
      <c r="AY99" t="s">
        <v>74</v>
      </c>
      <c r="AZ99" t="s">
        <v>74</v>
      </c>
      <c r="BA99" t="s">
        <v>74</v>
      </c>
      <c r="BB99">
        <v>181</v>
      </c>
      <c r="BC99">
        <v>188</v>
      </c>
      <c r="BD99" t="s">
        <v>74</v>
      </c>
      <c r="BE99" t="s">
        <v>8607</v>
      </c>
      <c r="BF99" t="str">
        <f>HYPERLINK("http://dx.doi.org/10.1046/j.1432-1327.1998.2540181.x","http://dx.doi.org/10.1046/j.1432-1327.1998.2540181.x")</f>
        <v>http://dx.doi.org/10.1046/j.1432-1327.1998.2540181.x</v>
      </c>
      <c r="BG99" t="s">
        <v>74</v>
      </c>
      <c r="BH99" t="s">
        <v>74</v>
      </c>
      <c r="BI99" t="s">
        <v>74</v>
      </c>
      <c r="BJ99" t="s">
        <v>92</v>
      </c>
      <c r="BK99" t="s">
        <v>112</v>
      </c>
      <c r="BL99" t="s">
        <v>92</v>
      </c>
      <c r="BM99" t="s">
        <v>74</v>
      </c>
      <c r="BN99">
        <v>9652412</v>
      </c>
      <c r="BO99" t="s">
        <v>74</v>
      </c>
      <c r="BP99" t="s">
        <v>74</v>
      </c>
      <c r="BQ99" t="s">
        <v>74</v>
      </c>
      <c r="BR99" t="s">
        <v>93</v>
      </c>
      <c r="BS99" t="s">
        <v>8608</v>
      </c>
      <c r="BT99" t="str">
        <f>HYPERLINK("https%3A%2F%2Fwww.webofscience.com%2Fwos%2Fwoscc%2Ffull-record%2FWOS:000073841100027","View Full Record in Web of Science")</f>
        <v>View Full Record in Web of Science</v>
      </c>
    </row>
    <row r="100" spans="1:72" x14ac:dyDescent="0.15">
      <c r="A100" t="s">
        <v>72</v>
      </c>
      <c r="B100" t="s">
        <v>2639</v>
      </c>
      <c r="C100" t="s">
        <v>74</v>
      </c>
      <c r="D100" t="s">
        <v>74</v>
      </c>
      <c r="E100" t="s">
        <v>74</v>
      </c>
      <c r="F100" t="s">
        <v>2640</v>
      </c>
      <c r="G100" t="s">
        <v>74</v>
      </c>
      <c r="H100" t="s">
        <v>74</v>
      </c>
      <c r="I100" t="s">
        <v>2641</v>
      </c>
      <c r="J100" t="s">
        <v>2642</v>
      </c>
      <c r="K100" t="s">
        <v>74</v>
      </c>
      <c r="L100" t="s">
        <v>74</v>
      </c>
      <c r="M100" t="s">
        <v>74</v>
      </c>
      <c r="N100" t="s">
        <v>78</v>
      </c>
      <c r="O100" t="s">
        <v>74</v>
      </c>
      <c r="P100" t="s">
        <v>74</v>
      </c>
      <c r="Q100" t="s">
        <v>74</v>
      </c>
      <c r="R100" t="s">
        <v>74</v>
      </c>
      <c r="S100" t="s">
        <v>74</v>
      </c>
      <c r="T100" t="s">
        <v>2643</v>
      </c>
      <c r="U100" t="s">
        <v>2644</v>
      </c>
      <c r="V100" t="s">
        <v>2645</v>
      </c>
      <c r="W100" t="s">
        <v>2646</v>
      </c>
      <c r="X100" t="s">
        <v>2647</v>
      </c>
      <c r="Y100" t="s">
        <v>2648</v>
      </c>
      <c r="Z100" t="s">
        <v>2649</v>
      </c>
      <c r="AA100" t="s">
        <v>2650</v>
      </c>
      <c r="AB100" t="s">
        <v>2651</v>
      </c>
      <c r="AC100" t="s">
        <v>74</v>
      </c>
      <c r="AD100" t="s">
        <v>74</v>
      </c>
      <c r="AE100" t="s">
        <v>74</v>
      </c>
      <c r="AF100" t="s">
        <v>74</v>
      </c>
      <c r="AG100">
        <v>40</v>
      </c>
      <c r="AH100">
        <v>73</v>
      </c>
      <c r="AI100">
        <v>76</v>
      </c>
      <c r="AJ100">
        <v>0</v>
      </c>
      <c r="AK100">
        <v>30</v>
      </c>
      <c r="AL100" t="s">
        <v>74</v>
      </c>
      <c r="AM100" t="s">
        <v>74</v>
      </c>
      <c r="AN100" t="s">
        <v>74</v>
      </c>
      <c r="AO100" t="s">
        <v>2652</v>
      </c>
      <c r="AP100" t="s">
        <v>2653</v>
      </c>
      <c r="AQ100" t="s">
        <v>74</v>
      </c>
      <c r="AR100" t="s">
        <v>74</v>
      </c>
      <c r="AS100" t="s">
        <v>74</v>
      </c>
      <c r="AT100" t="s">
        <v>503</v>
      </c>
      <c r="AU100">
        <v>2008</v>
      </c>
      <c r="AV100">
        <v>14</v>
      </c>
      <c r="AW100">
        <v>7</v>
      </c>
      <c r="AX100" t="s">
        <v>74</v>
      </c>
      <c r="AY100" t="s">
        <v>74</v>
      </c>
      <c r="AZ100" t="s">
        <v>74</v>
      </c>
      <c r="BA100" t="s">
        <v>74</v>
      </c>
      <c r="BB100">
        <v>1424</v>
      </c>
      <c r="BC100">
        <v>1432</v>
      </c>
      <c r="BD100" t="s">
        <v>74</v>
      </c>
      <c r="BE100" t="s">
        <v>2654</v>
      </c>
      <c r="BF100" t="str">
        <f>HYPERLINK("http://dx.doi.org/10.1261/rna.755908","http://dx.doi.org/10.1261/rna.755908")</f>
        <v>http://dx.doi.org/10.1261/rna.755908</v>
      </c>
      <c r="BG100" t="s">
        <v>74</v>
      </c>
      <c r="BH100" t="s">
        <v>74</v>
      </c>
      <c r="BI100" t="s">
        <v>74</v>
      </c>
      <c r="BJ100" t="s">
        <v>92</v>
      </c>
      <c r="BK100" t="s">
        <v>112</v>
      </c>
      <c r="BL100" t="s">
        <v>92</v>
      </c>
      <c r="BM100" t="s">
        <v>74</v>
      </c>
      <c r="BN100">
        <v>18456845</v>
      </c>
      <c r="BO100" t="s">
        <v>74</v>
      </c>
      <c r="BP100" t="s">
        <v>74</v>
      </c>
      <c r="BQ100" t="s">
        <v>74</v>
      </c>
      <c r="BR100" t="s">
        <v>93</v>
      </c>
      <c r="BS100" t="s">
        <v>2655</v>
      </c>
      <c r="BT100" t="str">
        <f>HYPERLINK("https%3A%2F%2Fwww.webofscience.com%2Fwos%2Fwoscc%2Ffull-record%2FWOS:000256879800017","View Full Record in Web of Science")</f>
        <v>View Full Record in Web of Science</v>
      </c>
    </row>
    <row r="101" spans="1:72" x14ac:dyDescent="0.15">
      <c r="A101" t="s">
        <v>72</v>
      </c>
      <c r="B101" t="s">
        <v>7466</v>
      </c>
      <c r="C101" t="s">
        <v>74</v>
      </c>
      <c r="D101" t="s">
        <v>74</v>
      </c>
      <c r="E101" t="s">
        <v>74</v>
      </c>
      <c r="F101" t="s">
        <v>7467</v>
      </c>
      <c r="G101" t="s">
        <v>74</v>
      </c>
      <c r="H101" t="s">
        <v>74</v>
      </c>
      <c r="I101" t="s">
        <v>7468</v>
      </c>
      <c r="J101" t="s">
        <v>992</v>
      </c>
      <c r="K101" t="s">
        <v>74</v>
      </c>
      <c r="L101" t="s">
        <v>74</v>
      </c>
      <c r="M101" t="s">
        <v>74</v>
      </c>
      <c r="N101" t="s">
        <v>78</v>
      </c>
      <c r="O101" t="s">
        <v>74</v>
      </c>
      <c r="P101" t="s">
        <v>74</v>
      </c>
      <c r="Q101" t="s">
        <v>74</v>
      </c>
      <c r="R101" t="s">
        <v>74</v>
      </c>
      <c r="S101" t="s">
        <v>74</v>
      </c>
      <c r="T101" t="s">
        <v>7469</v>
      </c>
      <c r="U101" t="s">
        <v>7470</v>
      </c>
      <c r="V101" t="s">
        <v>7471</v>
      </c>
      <c r="W101" t="s">
        <v>7472</v>
      </c>
      <c r="X101" t="s">
        <v>7473</v>
      </c>
      <c r="Y101" t="s">
        <v>7474</v>
      </c>
      <c r="Z101" t="s">
        <v>7475</v>
      </c>
      <c r="AA101" t="s">
        <v>74</v>
      </c>
      <c r="AB101" t="s">
        <v>74</v>
      </c>
      <c r="AC101" t="s">
        <v>74</v>
      </c>
      <c r="AD101" t="s">
        <v>74</v>
      </c>
      <c r="AE101" t="s">
        <v>74</v>
      </c>
      <c r="AF101" t="s">
        <v>74</v>
      </c>
      <c r="AG101">
        <v>30</v>
      </c>
      <c r="AH101">
        <v>73</v>
      </c>
      <c r="AI101">
        <v>73</v>
      </c>
      <c r="AJ101">
        <v>5</v>
      </c>
      <c r="AK101">
        <v>185</v>
      </c>
      <c r="AL101" t="s">
        <v>74</v>
      </c>
      <c r="AM101" t="s">
        <v>74</v>
      </c>
      <c r="AN101" t="s">
        <v>74</v>
      </c>
      <c r="AO101" t="s">
        <v>1001</v>
      </c>
      <c r="AP101" t="s">
        <v>1002</v>
      </c>
      <c r="AQ101" t="s">
        <v>74</v>
      </c>
      <c r="AR101" t="s">
        <v>74</v>
      </c>
      <c r="AS101" t="s">
        <v>74</v>
      </c>
      <c r="AT101" t="s">
        <v>578</v>
      </c>
      <c r="AU101">
        <v>2013</v>
      </c>
      <c r="AV101">
        <v>44</v>
      </c>
      <c r="AW101" t="s">
        <v>74</v>
      </c>
      <c r="AX101" t="s">
        <v>74</v>
      </c>
      <c r="AY101" t="s">
        <v>74</v>
      </c>
      <c r="AZ101" t="s">
        <v>74</v>
      </c>
      <c r="BA101" t="s">
        <v>74</v>
      </c>
      <c r="BB101">
        <v>115</v>
      </c>
      <c r="BC101">
        <v>121</v>
      </c>
      <c r="BD101" t="s">
        <v>74</v>
      </c>
      <c r="BE101" t="s">
        <v>7476</v>
      </c>
      <c r="BF101" t="str">
        <f>HYPERLINK("http://dx.doi.org/10.1016/j.bios.2012.12.046","http://dx.doi.org/10.1016/j.bios.2012.12.046")</f>
        <v>http://dx.doi.org/10.1016/j.bios.2012.12.046</v>
      </c>
      <c r="BG101" t="s">
        <v>74</v>
      </c>
      <c r="BH101" t="s">
        <v>74</v>
      </c>
      <c r="BI101" t="s">
        <v>74</v>
      </c>
      <c r="BJ101" t="s">
        <v>1006</v>
      </c>
      <c r="BK101" t="s">
        <v>112</v>
      </c>
      <c r="BL101" t="s">
        <v>1007</v>
      </c>
      <c r="BM101" t="s">
        <v>74</v>
      </c>
      <c r="BN101">
        <v>23402739</v>
      </c>
      <c r="BO101" t="s">
        <v>74</v>
      </c>
      <c r="BP101" t="s">
        <v>74</v>
      </c>
      <c r="BQ101" t="s">
        <v>74</v>
      </c>
      <c r="BR101" t="s">
        <v>93</v>
      </c>
      <c r="BS101" t="s">
        <v>7477</v>
      </c>
      <c r="BT101" t="str">
        <f>HYPERLINK("https%3A%2F%2Fwww.webofscience.com%2Fwos%2Fwoscc%2Ffull-record%2FWOS:000317150700020","View Full Record in Web of Science")</f>
        <v>View Full Record in Web of Science</v>
      </c>
    </row>
    <row r="102" spans="1:72" x14ac:dyDescent="0.15">
      <c r="A102" t="s">
        <v>72</v>
      </c>
      <c r="B102" t="s">
        <v>9455</v>
      </c>
      <c r="C102" t="s">
        <v>74</v>
      </c>
      <c r="D102" t="s">
        <v>74</v>
      </c>
      <c r="E102" t="s">
        <v>74</v>
      </c>
      <c r="F102" t="s">
        <v>9456</v>
      </c>
      <c r="G102" t="s">
        <v>74</v>
      </c>
      <c r="H102" t="s">
        <v>74</v>
      </c>
      <c r="I102" t="s">
        <v>9457</v>
      </c>
      <c r="J102" t="s">
        <v>9458</v>
      </c>
      <c r="K102" t="s">
        <v>74</v>
      </c>
      <c r="L102" t="s">
        <v>74</v>
      </c>
      <c r="M102" t="s">
        <v>74</v>
      </c>
      <c r="N102" t="s">
        <v>78</v>
      </c>
      <c r="O102" t="s">
        <v>74</v>
      </c>
      <c r="P102" t="s">
        <v>74</v>
      </c>
      <c r="Q102" t="s">
        <v>74</v>
      </c>
      <c r="R102" t="s">
        <v>74</v>
      </c>
      <c r="S102" t="s">
        <v>74</v>
      </c>
      <c r="T102" t="s">
        <v>74</v>
      </c>
      <c r="U102" t="s">
        <v>9459</v>
      </c>
      <c r="V102" t="s">
        <v>9460</v>
      </c>
      <c r="W102" t="s">
        <v>74</v>
      </c>
      <c r="X102" t="s">
        <v>74</v>
      </c>
      <c r="Y102" t="s">
        <v>74</v>
      </c>
      <c r="Z102" t="s">
        <v>74</v>
      </c>
      <c r="AA102" t="s">
        <v>9461</v>
      </c>
      <c r="AB102" t="s">
        <v>9462</v>
      </c>
      <c r="AC102" t="s">
        <v>74</v>
      </c>
      <c r="AD102" t="s">
        <v>74</v>
      </c>
      <c r="AE102" t="s">
        <v>74</v>
      </c>
      <c r="AF102" t="s">
        <v>74</v>
      </c>
      <c r="AG102">
        <v>116</v>
      </c>
      <c r="AH102">
        <v>72</v>
      </c>
      <c r="AI102">
        <v>78</v>
      </c>
      <c r="AJ102">
        <v>3</v>
      </c>
      <c r="AK102">
        <v>24</v>
      </c>
      <c r="AL102" t="s">
        <v>74</v>
      </c>
      <c r="AM102" t="s">
        <v>74</v>
      </c>
      <c r="AN102" t="s">
        <v>74</v>
      </c>
      <c r="AO102" t="s">
        <v>9463</v>
      </c>
      <c r="AP102" t="s">
        <v>9464</v>
      </c>
      <c r="AQ102" t="s">
        <v>74</v>
      </c>
      <c r="AR102" t="s">
        <v>74</v>
      </c>
      <c r="AS102" t="s">
        <v>74</v>
      </c>
      <c r="AT102" t="s">
        <v>640</v>
      </c>
      <c r="AU102">
        <v>2016</v>
      </c>
      <c r="AV102">
        <v>70</v>
      </c>
      <c r="AW102">
        <v>1</v>
      </c>
      <c r="AX102" t="s">
        <v>74</v>
      </c>
      <c r="AY102" t="s">
        <v>74</v>
      </c>
      <c r="AZ102" t="s">
        <v>74</v>
      </c>
      <c r="BA102" t="s">
        <v>74</v>
      </c>
      <c r="BB102">
        <v>38</v>
      </c>
      <c r="BC102">
        <v>52</v>
      </c>
      <c r="BD102" t="s">
        <v>74</v>
      </c>
      <c r="BE102" t="s">
        <v>9465</v>
      </c>
      <c r="BF102" t="str">
        <f>HYPERLINK("http://dx.doi.org/10.1111/prd.12099","http://dx.doi.org/10.1111/prd.12099")</f>
        <v>http://dx.doi.org/10.1111/prd.12099</v>
      </c>
      <c r="BG102" t="s">
        <v>74</v>
      </c>
      <c r="BH102" t="s">
        <v>74</v>
      </c>
      <c r="BI102" t="s">
        <v>74</v>
      </c>
      <c r="BJ102" t="s">
        <v>5645</v>
      </c>
      <c r="BK102" t="s">
        <v>112</v>
      </c>
      <c r="BL102" t="s">
        <v>5645</v>
      </c>
      <c r="BM102" t="s">
        <v>74</v>
      </c>
      <c r="BN102">
        <v>24984623</v>
      </c>
      <c r="BO102" t="s">
        <v>74</v>
      </c>
      <c r="BP102" t="s">
        <v>74</v>
      </c>
      <c r="BQ102" t="s">
        <v>74</v>
      </c>
      <c r="BR102" t="s">
        <v>93</v>
      </c>
      <c r="BS102" t="s">
        <v>9466</v>
      </c>
      <c r="BT102" t="str">
        <f>HYPERLINK("https%3A%2F%2Fwww.webofscience.com%2Fwos%2Fwoscc%2Ffull-record%2FWOS:000366512400004","View Full Record in Web of Science")</f>
        <v>View Full Record in Web of Science</v>
      </c>
    </row>
    <row r="103" spans="1:72" x14ac:dyDescent="0.15">
      <c r="A103" t="s">
        <v>72</v>
      </c>
      <c r="B103" t="s">
        <v>190</v>
      </c>
      <c r="C103" t="s">
        <v>74</v>
      </c>
      <c r="D103" t="s">
        <v>74</v>
      </c>
      <c r="E103" t="s">
        <v>74</v>
      </c>
      <c r="F103" t="s">
        <v>191</v>
      </c>
      <c r="G103" t="s">
        <v>74</v>
      </c>
      <c r="H103" t="s">
        <v>74</v>
      </c>
      <c r="I103" t="s">
        <v>192</v>
      </c>
      <c r="J103" t="s">
        <v>135</v>
      </c>
      <c r="K103" t="s">
        <v>74</v>
      </c>
      <c r="L103" t="s">
        <v>74</v>
      </c>
      <c r="M103" t="s">
        <v>74</v>
      </c>
      <c r="N103" t="s">
        <v>78</v>
      </c>
      <c r="O103" t="s">
        <v>74</v>
      </c>
      <c r="P103" t="s">
        <v>74</v>
      </c>
      <c r="Q103" t="s">
        <v>74</v>
      </c>
      <c r="R103" t="s">
        <v>74</v>
      </c>
      <c r="S103" t="s">
        <v>74</v>
      </c>
      <c r="T103" t="s">
        <v>193</v>
      </c>
      <c r="U103" t="s">
        <v>194</v>
      </c>
      <c r="V103" t="s">
        <v>195</v>
      </c>
      <c r="W103" t="s">
        <v>196</v>
      </c>
      <c r="X103" t="s">
        <v>197</v>
      </c>
      <c r="Y103" t="s">
        <v>198</v>
      </c>
      <c r="Z103" t="s">
        <v>199</v>
      </c>
      <c r="AA103" t="s">
        <v>74</v>
      </c>
      <c r="AB103" t="s">
        <v>74</v>
      </c>
      <c r="AC103" t="s">
        <v>74</v>
      </c>
      <c r="AD103" t="s">
        <v>74</v>
      </c>
      <c r="AE103" t="s">
        <v>74</v>
      </c>
      <c r="AF103" t="s">
        <v>74</v>
      </c>
      <c r="AG103">
        <v>51</v>
      </c>
      <c r="AH103">
        <v>71</v>
      </c>
      <c r="AI103">
        <v>78</v>
      </c>
      <c r="AJ103">
        <v>1</v>
      </c>
      <c r="AK103">
        <v>11</v>
      </c>
      <c r="AL103" t="s">
        <v>74</v>
      </c>
      <c r="AM103" t="s">
        <v>74</v>
      </c>
      <c r="AN103" t="s">
        <v>74</v>
      </c>
      <c r="AO103" t="s">
        <v>143</v>
      </c>
      <c r="AP103" t="s">
        <v>74</v>
      </c>
      <c r="AQ103" t="s">
        <v>74</v>
      </c>
      <c r="AR103" t="s">
        <v>74</v>
      </c>
      <c r="AS103" t="s">
        <v>74</v>
      </c>
      <c r="AT103" t="s">
        <v>200</v>
      </c>
      <c r="AU103">
        <v>2016</v>
      </c>
      <c r="AV103">
        <v>16</v>
      </c>
      <c r="AW103" t="s">
        <v>74</v>
      </c>
      <c r="AX103" t="s">
        <v>74</v>
      </c>
      <c r="AY103" t="s">
        <v>74</v>
      </c>
      <c r="AZ103" t="s">
        <v>74</v>
      </c>
      <c r="BA103" t="s">
        <v>74</v>
      </c>
      <c r="BB103" t="s">
        <v>74</v>
      </c>
      <c r="BC103" t="s">
        <v>74</v>
      </c>
      <c r="BD103">
        <v>753</v>
      </c>
      <c r="BE103" t="s">
        <v>201</v>
      </c>
      <c r="BF103" t="str">
        <f>HYPERLINK("http://dx.doi.org/10.1186/s12885-016-2783-2","http://dx.doi.org/10.1186/s12885-016-2783-2")</f>
        <v>http://dx.doi.org/10.1186/s12885-016-2783-2</v>
      </c>
      <c r="BG103" t="s">
        <v>74</v>
      </c>
      <c r="BH103" t="s">
        <v>74</v>
      </c>
      <c r="BI103" t="s">
        <v>74</v>
      </c>
      <c r="BJ103" t="s">
        <v>146</v>
      </c>
      <c r="BK103" t="s">
        <v>112</v>
      </c>
      <c r="BL103" t="s">
        <v>146</v>
      </c>
      <c r="BM103" t="s">
        <v>74</v>
      </c>
      <c r="BN103">
        <v>27662833</v>
      </c>
      <c r="BO103" t="s">
        <v>74</v>
      </c>
      <c r="BP103" t="s">
        <v>74</v>
      </c>
      <c r="BQ103" t="s">
        <v>74</v>
      </c>
      <c r="BR103" t="s">
        <v>93</v>
      </c>
      <c r="BS103" t="s">
        <v>202</v>
      </c>
      <c r="BT103" t="str">
        <f>HYPERLINK("https%3A%2F%2Fwww.webofscience.com%2Fwos%2Fwoscc%2Ffull-record%2FWOS:000384498200001","View Full Record in Web of Science")</f>
        <v>View Full Record in Web of Science</v>
      </c>
    </row>
    <row r="104" spans="1:72" x14ac:dyDescent="0.15">
      <c r="A104" t="s">
        <v>72</v>
      </c>
      <c r="B104" t="s">
        <v>4172</v>
      </c>
      <c r="C104" t="s">
        <v>74</v>
      </c>
      <c r="D104" t="s">
        <v>74</v>
      </c>
      <c r="E104" t="s">
        <v>74</v>
      </c>
      <c r="F104" t="s">
        <v>4173</v>
      </c>
      <c r="G104" t="s">
        <v>74</v>
      </c>
      <c r="H104" t="s">
        <v>74</v>
      </c>
      <c r="I104" t="s">
        <v>4174</v>
      </c>
      <c r="J104" t="s">
        <v>2850</v>
      </c>
      <c r="K104" t="s">
        <v>74</v>
      </c>
      <c r="L104" t="s">
        <v>74</v>
      </c>
      <c r="M104" t="s">
        <v>74</v>
      </c>
      <c r="N104" t="s">
        <v>78</v>
      </c>
      <c r="O104" t="s">
        <v>74</v>
      </c>
      <c r="P104" t="s">
        <v>74</v>
      </c>
      <c r="Q104" t="s">
        <v>74</v>
      </c>
      <c r="R104" t="s">
        <v>74</v>
      </c>
      <c r="S104" t="s">
        <v>74</v>
      </c>
      <c r="T104" t="s">
        <v>74</v>
      </c>
      <c r="U104" t="s">
        <v>4175</v>
      </c>
      <c r="V104" t="s">
        <v>4176</v>
      </c>
      <c r="W104" t="s">
        <v>4177</v>
      </c>
      <c r="X104" t="s">
        <v>4178</v>
      </c>
      <c r="Y104" t="s">
        <v>4179</v>
      </c>
      <c r="Z104" t="s">
        <v>4180</v>
      </c>
      <c r="AA104" t="s">
        <v>4181</v>
      </c>
      <c r="AB104" t="s">
        <v>74</v>
      </c>
      <c r="AC104" t="s">
        <v>74</v>
      </c>
      <c r="AD104" t="s">
        <v>74</v>
      </c>
      <c r="AE104" t="s">
        <v>74</v>
      </c>
      <c r="AF104" t="s">
        <v>74</v>
      </c>
      <c r="AG104">
        <v>44</v>
      </c>
      <c r="AH104">
        <v>71</v>
      </c>
      <c r="AI104">
        <v>72</v>
      </c>
      <c r="AJ104">
        <v>20</v>
      </c>
      <c r="AK104">
        <v>150</v>
      </c>
      <c r="AL104" t="s">
        <v>74</v>
      </c>
      <c r="AM104" t="s">
        <v>74</v>
      </c>
      <c r="AN104" t="s">
        <v>74</v>
      </c>
      <c r="AO104" t="s">
        <v>2859</v>
      </c>
      <c r="AP104" t="s">
        <v>74</v>
      </c>
      <c r="AQ104" t="s">
        <v>74</v>
      </c>
      <c r="AR104" t="s">
        <v>74</v>
      </c>
      <c r="AS104" t="s">
        <v>74</v>
      </c>
      <c r="AT104" t="s">
        <v>4182</v>
      </c>
      <c r="AU104">
        <v>2017</v>
      </c>
      <c r="AV104">
        <v>8</v>
      </c>
      <c r="AW104" t="s">
        <v>74</v>
      </c>
      <c r="AX104" t="s">
        <v>74</v>
      </c>
      <c r="AY104" t="s">
        <v>74</v>
      </c>
      <c r="AZ104" t="s">
        <v>74</v>
      </c>
      <c r="BA104" t="s">
        <v>74</v>
      </c>
      <c r="BB104" t="s">
        <v>74</v>
      </c>
      <c r="BC104" t="s">
        <v>74</v>
      </c>
      <c r="BD104">
        <v>1683</v>
      </c>
      <c r="BE104" t="s">
        <v>4183</v>
      </c>
      <c r="BF104" t="str">
        <f>HYPERLINK("http://dx.doi.org/10.1038/s41467-017-01942-1","http://dx.doi.org/10.1038/s41467-017-01942-1")</f>
        <v>http://dx.doi.org/10.1038/s41467-017-01942-1</v>
      </c>
      <c r="BG104" t="s">
        <v>74</v>
      </c>
      <c r="BH104" t="s">
        <v>74</v>
      </c>
      <c r="BI104" t="s">
        <v>74</v>
      </c>
      <c r="BJ104" t="s">
        <v>545</v>
      </c>
      <c r="BK104" t="s">
        <v>112</v>
      </c>
      <c r="BL104" t="s">
        <v>546</v>
      </c>
      <c r="BM104" t="s">
        <v>74</v>
      </c>
      <c r="BN104">
        <v>29162835</v>
      </c>
      <c r="BO104" t="s">
        <v>74</v>
      </c>
      <c r="BP104" t="s">
        <v>74</v>
      </c>
      <c r="BQ104" t="s">
        <v>74</v>
      </c>
      <c r="BR104" t="s">
        <v>93</v>
      </c>
      <c r="BS104" t="s">
        <v>4184</v>
      </c>
      <c r="BT104" t="str">
        <f>HYPERLINK("https%3A%2F%2Fwww.webofscience.com%2Fwos%2Fwoscc%2Ffull-record%2FWOS:000416226200012","View Full Record in Web of Science")</f>
        <v>View Full Record in Web of Science</v>
      </c>
    </row>
    <row r="105" spans="1:72" x14ac:dyDescent="0.15">
      <c r="A105" t="s">
        <v>72</v>
      </c>
      <c r="B105" t="s">
        <v>5061</v>
      </c>
      <c r="C105" t="s">
        <v>74</v>
      </c>
      <c r="D105" t="s">
        <v>74</v>
      </c>
      <c r="E105" t="s">
        <v>74</v>
      </c>
      <c r="F105" t="s">
        <v>5062</v>
      </c>
      <c r="G105" t="s">
        <v>74</v>
      </c>
      <c r="H105" t="s">
        <v>74</v>
      </c>
      <c r="I105" t="s">
        <v>5063</v>
      </c>
      <c r="J105" t="s">
        <v>929</v>
      </c>
      <c r="K105" t="s">
        <v>74</v>
      </c>
      <c r="L105" t="s">
        <v>74</v>
      </c>
      <c r="M105" t="s">
        <v>74</v>
      </c>
      <c r="N105" t="s">
        <v>78</v>
      </c>
      <c r="O105" t="s">
        <v>74</v>
      </c>
      <c r="P105" t="s">
        <v>74</v>
      </c>
      <c r="Q105" t="s">
        <v>74</v>
      </c>
      <c r="R105" t="s">
        <v>74</v>
      </c>
      <c r="S105" t="s">
        <v>74</v>
      </c>
      <c r="T105" t="s">
        <v>74</v>
      </c>
      <c r="U105" t="s">
        <v>5064</v>
      </c>
      <c r="V105" t="s">
        <v>5065</v>
      </c>
      <c r="W105" t="s">
        <v>5066</v>
      </c>
      <c r="X105" t="s">
        <v>5067</v>
      </c>
      <c r="Y105" t="s">
        <v>5068</v>
      </c>
      <c r="Z105" t="s">
        <v>1631</v>
      </c>
      <c r="AA105" t="s">
        <v>74</v>
      </c>
      <c r="AB105" t="s">
        <v>5069</v>
      </c>
      <c r="AC105" t="s">
        <v>74</v>
      </c>
      <c r="AD105" t="s">
        <v>74</v>
      </c>
      <c r="AE105" t="s">
        <v>74</v>
      </c>
      <c r="AF105" t="s">
        <v>74</v>
      </c>
      <c r="AG105">
        <v>59</v>
      </c>
      <c r="AH105">
        <v>71</v>
      </c>
      <c r="AI105">
        <v>72</v>
      </c>
      <c r="AJ105">
        <v>3</v>
      </c>
      <c r="AK105">
        <v>35</v>
      </c>
      <c r="AL105" t="s">
        <v>74</v>
      </c>
      <c r="AM105" t="s">
        <v>74</v>
      </c>
      <c r="AN105" t="s">
        <v>74</v>
      </c>
      <c r="AO105" t="s">
        <v>939</v>
      </c>
      <c r="AP105" t="s">
        <v>940</v>
      </c>
      <c r="AQ105" t="s">
        <v>74</v>
      </c>
      <c r="AR105" t="s">
        <v>74</v>
      </c>
      <c r="AS105" t="s">
        <v>74</v>
      </c>
      <c r="AT105" t="s">
        <v>5070</v>
      </c>
      <c r="AU105">
        <v>2015</v>
      </c>
      <c r="AV105">
        <v>290</v>
      </c>
      <c r="AW105">
        <v>40</v>
      </c>
      <c r="AX105" t="s">
        <v>74</v>
      </c>
      <c r="AY105" t="s">
        <v>74</v>
      </c>
      <c r="AZ105" t="s">
        <v>74</v>
      </c>
      <c r="BA105" t="s">
        <v>74</v>
      </c>
      <c r="BB105">
        <v>24534</v>
      </c>
      <c r="BC105">
        <v>24546</v>
      </c>
      <c r="BD105" t="s">
        <v>74</v>
      </c>
      <c r="BE105" t="s">
        <v>5071</v>
      </c>
      <c r="BF105" t="str">
        <f>HYPERLINK("http://dx.doi.org/10.1074/jbc.M115.679217","http://dx.doi.org/10.1074/jbc.M115.679217")</f>
        <v>http://dx.doi.org/10.1074/jbc.M115.679217</v>
      </c>
      <c r="BG105" t="s">
        <v>74</v>
      </c>
      <c r="BH105" t="s">
        <v>74</v>
      </c>
      <c r="BI105" t="s">
        <v>74</v>
      </c>
      <c r="BJ105" t="s">
        <v>92</v>
      </c>
      <c r="BK105" t="s">
        <v>112</v>
      </c>
      <c r="BL105" t="s">
        <v>92</v>
      </c>
      <c r="BM105" t="s">
        <v>74</v>
      </c>
      <c r="BN105">
        <v>26272609</v>
      </c>
      <c r="BO105" t="s">
        <v>74</v>
      </c>
      <c r="BP105" t="s">
        <v>74</v>
      </c>
      <c r="BQ105" t="s">
        <v>74</v>
      </c>
      <c r="BR105" t="s">
        <v>93</v>
      </c>
      <c r="BS105" t="s">
        <v>5072</v>
      </c>
      <c r="BT105" t="str">
        <f>HYPERLINK("https%3A%2F%2Fwww.webofscience.com%2Fwos%2Fwoscc%2Ffull-record%2FWOS:000362218900038","View Full Record in Web of Science")</f>
        <v>View Full Record in Web of Science</v>
      </c>
    </row>
    <row r="106" spans="1:72" x14ac:dyDescent="0.15">
      <c r="A106" t="s">
        <v>72</v>
      </c>
      <c r="B106" t="s">
        <v>7366</v>
      </c>
      <c r="C106" t="s">
        <v>74</v>
      </c>
      <c r="D106" t="s">
        <v>74</v>
      </c>
      <c r="E106" t="s">
        <v>74</v>
      </c>
      <c r="F106" t="s">
        <v>7366</v>
      </c>
      <c r="G106" t="s">
        <v>74</v>
      </c>
      <c r="H106" t="s">
        <v>74</v>
      </c>
      <c r="I106" t="s">
        <v>7367</v>
      </c>
      <c r="J106" t="s">
        <v>7368</v>
      </c>
      <c r="K106" t="s">
        <v>74</v>
      </c>
      <c r="L106" t="s">
        <v>74</v>
      </c>
      <c r="M106" t="s">
        <v>74</v>
      </c>
      <c r="N106" t="s">
        <v>78</v>
      </c>
      <c r="O106" t="s">
        <v>74</v>
      </c>
      <c r="P106" t="s">
        <v>74</v>
      </c>
      <c r="Q106" t="s">
        <v>74</v>
      </c>
      <c r="R106" t="s">
        <v>74</v>
      </c>
      <c r="S106" t="s">
        <v>74</v>
      </c>
      <c r="T106" t="s">
        <v>7369</v>
      </c>
      <c r="U106" t="s">
        <v>7370</v>
      </c>
      <c r="V106" t="s">
        <v>7371</v>
      </c>
      <c r="W106" t="s">
        <v>7372</v>
      </c>
      <c r="X106" t="s">
        <v>7373</v>
      </c>
      <c r="Y106" t="s">
        <v>7374</v>
      </c>
      <c r="Z106" t="s">
        <v>74</v>
      </c>
      <c r="AA106" t="s">
        <v>74</v>
      </c>
      <c r="AB106" t="s">
        <v>74</v>
      </c>
      <c r="AC106" t="s">
        <v>74</v>
      </c>
      <c r="AD106" t="s">
        <v>74</v>
      </c>
      <c r="AE106" t="s">
        <v>74</v>
      </c>
      <c r="AF106" t="s">
        <v>74</v>
      </c>
      <c r="AG106">
        <v>49</v>
      </c>
      <c r="AH106">
        <v>71</v>
      </c>
      <c r="AI106">
        <v>72</v>
      </c>
      <c r="AJ106">
        <v>1</v>
      </c>
      <c r="AK106">
        <v>4</v>
      </c>
      <c r="AL106" t="s">
        <v>74</v>
      </c>
      <c r="AM106" t="s">
        <v>74</v>
      </c>
      <c r="AN106" t="s">
        <v>74</v>
      </c>
      <c r="AO106" t="s">
        <v>7375</v>
      </c>
      <c r="AP106" t="s">
        <v>74</v>
      </c>
      <c r="AQ106" t="s">
        <v>74</v>
      </c>
      <c r="AR106" t="s">
        <v>74</v>
      </c>
      <c r="AS106" t="s">
        <v>74</v>
      </c>
      <c r="AT106" t="s">
        <v>437</v>
      </c>
      <c r="AU106">
        <v>1999</v>
      </c>
      <c r="AV106">
        <v>146</v>
      </c>
      <c r="AW106">
        <v>2</v>
      </c>
      <c r="AX106" t="s">
        <v>74</v>
      </c>
      <c r="AY106" t="s">
        <v>74</v>
      </c>
      <c r="AZ106" t="s">
        <v>74</v>
      </c>
      <c r="BA106" t="s">
        <v>74</v>
      </c>
      <c r="BB106">
        <v>309</v>
      </c>
      <c r="BC106">
        <v>319</v>
      </c>
      <c r="BD106" t="s">
        <v>74</v>
      </c>
      <c r="BE106" t="s">
        <v>7376</v>
      </c>
      <c r="BF106" t="str">
        <f>HYPERLINK("http://dx.doi.org/10.1016/S0021-9150(99)00155-0","http://dx.doi.org/10.1016/S0021-9150(99)00155-0")</f>
        <v>http://dx.doi.org/10.1016/S0021-9150(99)00155-0</v>
      </c>
      <c r="BG106" t="s">
        <v>74</v>
      </c>
      <c r="BH106" t="s">
        <v>74</v>
      </c>
      <c r="BI106" t="s">
        <v>74</v>
      </c>
      <c r="BJ106" t="s">
        <v>7377</v>
      </c>
      <c r="BK106" t="s">
        <v>112</v>
      </c>
      <c r="BL106" t="s">
        <v>2387</v>
      </c>
      <c r="BM106" t="s">
        <v>74</v>
      </c>
      <c r="BN106">
        <v>10532697</v>
      </c>
      <c r="BO106" t="s">
        <v>74</v>
      </c>
      <c r="BP106" t="s">
        <v>74</v>
      </c>
      <c r="BQ106" t="s">
        <v>74</v>
      </c>
      <c r="BR106" t="s">
        <v>93</v>
      </c>
      <c r="BS106" t="s">
        <v>7378</v>
      </c>
      <c r="BT106" t="str">
        <f>HYPERLINK("https%3A%2F%2Fwww.webofscience.com%2Fwos%2Fwoscc%2Ffull-record%2FWOS:000082830100012","View Full Record in Web of Science")</f>
        <v>View Full Record in Web of Science</v>
      </c>
    </row>
    <row r="107" spans="1:72" x14ac:dyDescent="0.15">
      <c r="A107" t="s">
        <v>72</v>
      </c>
      <c r="B107" t="s">
        <v>10670</v>
      </c>
      <c r="C107" t="s">
        <v>74</v>
      </c>
      <c r="D107" t="s">
        <v>74</v>
      </c>
      <c r="E107" t="s">
        <v>74</v>
      </c>
      <c r="F107" t="s">
        <v>10670</v>
      </c>
      <c r="G107" t="s">
        <v>74</v>
      </c>
      <c r="H107" t="s">
        <v>74</v>
      </c>
      <c r="I107" t="s">
        <v>10671</v>
      </c>
      <c r="J107" t="s">
        <v>10453</v>
      </c>
      <c r="K107" t="s">
        <v>74</v>
      </c>
      <c r="L107" t="s">
        <v>74</v>
      </c>
      <c r="M107" t="s">
        <v>74</v>
      </c>
      <c r="N107" t="s">
        <v>78</v>
      </c>
      <c r="O107" t="s">
        <v>74</v>
      </c>
      <c r="P107" t="s">
        <v>74</v>
      </c>
      <c r="Q107" t="s">
        <v>74</v>
      </c>
      <c r="R107" t="s">
        <v>74</v>
      </c>
      <c r="S107" t="s">
        <v>74</v>
      </c>
      <c r="T107" t="s">
        <v>74</v>
      </c>
      <c r="U107" t="s">
        <v>10672</v>
      </c>
      <c r="V107" t="s">
        <v>10673</v>
      </c>
      <c r="W107" t="s">
        <v>10674</v>
      </c>
      <c r="X107" t="s">
        <v>10675</v>
      </c>
      <c r="Y107" t="s">
        <v>10676</v>
      </c>
      <c r="Z107" t="s">
        <v>74</v>
      </c>
      <c r="AA107" t="s">
        <v>74</v>
      </c>
      <c r="AB107" t="s">
        <v>74</v>
      </c>
      <c r="AC107" t="s">
        <v>74</v>
      </c>
      <c r="AD107" t="s">
        <v>74</v>
      </c>
      <c r="AE107" t="s">
        <v>74</v>
      </c>
      <c r="AF107" t="s">
        <v>74</v>
      </c>
      <c r="AG107">
        <v>39</v>
      </c>
      <c r="AH107">
        <v>71</v>
      </c>
      <c r="AI107">
        <v>86</v>
      </c>
      <c r="AJ107">
        <v>0</v>
      </c>
      <c r="AK107">
        <v>1</v>
      </c>
      <c r="AL107" t="s">
        <v>74</v>
      </c>
      <c r="AM107" t="s">
        <v>74</v>
      </c>
      <c r="AN107" t="s">
        <v>74</v>
      </c>
      <c r="AO107" t="s">
        <v>10460</v>
      </c>
      <c r="AP107" t="s">
        <v>74</v>
      </c>
      <c r="AQ107" t="s">
        <v>74</v>
      </c>
      <c r="AR107" t="s">
        <v>74</v>
      </c>
      <c r="AS107" t="s">
        <v>74</v>
      </c>
      <c r="AT107" t="s">
        <v>3728</v>
      </c>
      <c r="AU107">
        <v>1996</v>
      </c>
      <c r="AV107">
        <v>222</v>
      </c>
      <c r="AW107">
        <v>1</v>
      </c>
      <c r="AX107" t="s">
        <v>74</v>
      </c>
      <c r="AY107" t="s">
        <v>74</v>
      </c>
      <c r="AZ107" t="s">
        <v>74</v>
      </c>
      <c r="BA107" t="s">
        <v>74</v>
      </c>
      <c r="BB107">
        <v>100</v>
      </c>
      <c r="BC107">
        <v>114</v>
      </c>
      <c r="BD107" t="s">
        <v>74</v>
      </c>
      <c r="BE107" t="s">
        <v>10677</v>
      </c>
      <c r="BF107" t="str">
        <f>HYPERLINK("http://dx.doi.org/10.1006/viro.1996.0401","http://dx.doi.org/10.1006/viro.1996.0401")</f>
        <v>http://dx.doi.org/10.1006/viro.1996.0401</v>
      </c>
      <c r="BG107" t="s">
        <v>74</v>
      </c>
      <c r="BH107" t="s">
        <v>74</v>
      </c>
      <c r="BI107" t="s">
        <v>74</v>
      </c>
      <c r="BJ107" t="s">
        <v>401</v>
      </c>
      <c r="BK107" t="s">
        <v>112</v>
      </c>
      <c r="BL107" t="s">
        <v>401</v>
      </c>
      <c r="BM107" t="s">
        <v>74</v>
      </c>
      <c r="BN107">
        <v>8806491</v>
      </c>
      <c r="BO107" t="s">
        <v>74</v>
      </c>
      <c r="BP107" t="s">
        <v>74</v>
      </c>
      <c r="BQ107" t="s">
        <v>74</v>
      </c>
      <c r="BR107" t="s">
        <v>93</v>
      </c>
      <c r="BS107" t="s">
        <v>10678</v>
      </c>
      <c r="BT107" t="str">
        <f>HYPERLINK("https%3A%2F%2Fwww.webofscience.com%2Fwos%2Fwoscc%2Ffull-record%2FWOS:A1996VB37700010","View Full Record in Web of Science")</f>
        <v>View Full Record in Web of Science</v>
      </c>
    </row>
    <row r="108" spans="1:72" x14ac:dyDescent="0.15">
      <c r="A108" t="s">
        <v>72</v>
      </c>
      <c r="B108" t="s">
        <v>3812</v>
      </c>
      <c r="C108" t="s">
        <v>74</v>
      </c>
      <c r="D108" t="s">
        <v>74</v>
      </c>
      <c r="E108" t="s">
        <v>74</v>
      </c>
      <c r="F108" t="s">
        <v>3813</v>
      </c>
      <c r="G108" t="s">
        <v>74</v>
      </c>
      <c r="H108" t="s">
        <v>74</v>
      </c>
      <c r="I108" t="s">
        <v>3814</v>
      </c>
      <c r="J108" t="s">
        <v>3815</v>
      </c>
      <c r="K108" t="s">
        <v>74</v>
      </c>
      <c r="L108" t="s">
        <v>74</v>
      </c>
      <c r="M108" t="s">
        <v>74</v>
      </c>
      <c r="N108" t="s">
        <v>78</v>
      </c>
      <c r="O108" t="s">
        <v>74</v>
      </c>
      <c r="P108" t="s">
        <v>74</v>
      </c>
      <c r="Q108" t="s">
        <v>74</v>
      </c>
      <c r="R108" t="s">
        <v>74</v>
      </c>
      <c r="S108" t="s">
        <v>74</v>
      </c>
      <c r="T108" t="s">
        <v>74</v>
      </c>
      <c r="U108" t="s">
        <v>3816</v>
      </c>
      <c r="V108" t="s">
        <v>3817</v>
      </c>
      <c r="W108" t="s">
        <v>3818</v>
      </c>
      <c r="X108" t="s">
        <v>3819</v>
      </c>
      <c r="Y108" t="s">
        <v>3820</v>
      </c>
      <c r="Z108" t="s">
        <v>3821</v>
      </c>
      <c r="AA108" t="s">
        <v>74</v>
      </c>
      <c r="AB108" t="s">
        <v>3822</v>
      </c>
      <c r="AC108" t="s">
        <v>74</v>
      </c>
      <c r="AD108" t="s">
        <v>74</v>
      </c>
      <c r="AE108" t="s">
        <v>74</v>
      </c>
      <c r="AF108" t="s">
        <v>74</v>
      </c>
      <c r="AG108">
        <v>32</v>
      </c>
      <c r="AH108">
        <v>70</v>
      </c>
      <c r="AI108">
        <v>72</v>
      </c>
      <c r="AJ108">
        <v>13</v>
      </c>
      <c r="AK108">
        <v>144</v>
      </c>
      <c r="AL108" t="s">
        <v>74</v>
      </c>
      <c r="AM108" t="s">
        <v>74</v>
      </c>
      <c r="AN108" t="s">
        <v>74</v>
      </c>
      <c r="AO108" t="s">
        <v>3823</v>
      </c>
      <c r="AP108" t="s">
        <v>3824</v>
      </c>
      <c r="AQ108" t="s">
        <v>74</v>
      </c>
      <c r="AR108" t="s">
        <v>74</v>
      </c>
      <c r="AS108" t="s">
        <v>74</v>
      </c>
      <c r="AT108" t="s">
        <v>743</v>
      </c>
      <c r="AU108">
        <v>2020</v>
      </c>
      <c r="AV108">
        <v>579</v>
      </c>
      <c r="AW108">
        <v>7798</v>
      </c>
      <c r="AX108" t="s">
        <v>74</v>
      </c>
      <c r="AY108" t="s">
        <v>74</v>
      </c>
      <c r="AZ108" t="s">
        <v>74</v>
      </c>
      <c r="BA108" t="s">
        <v>74</v>
      </c>
      <c r="BB108">
        <v>260</v>
      </c>
      <c r="BC108" t="s">
        <v>109</v>
      </c>
      <c r="BD108" t="s">
        <v>74</v>
      </c>
      <c r="BE108" t="s">
        <v>3825</v>
      </c>
      <c r="BF108" t="str">
        <f>HYPERLINK("http://dx.doi.org/10.1038/s41586-020-2066-6","http://dx.doi.org/10.1038/s41586-020-2066-6")</f>
        <v>http://dx.doi.org/10.1038/s41586-020-2066-6</v>
      </c>
      <c r="BG108" t="s">
        <v>74</v>
      </c>
      <c r="BH108" t="s">
        <v>3826</v>
      </c>
      <c r="BI108" t="s">
        <v>74</v>
      </c>
      <c r="BJ108" t="s">
        <v>545</v>
      </c>
      <c r="BK108" t="s">
        <v>112</v>
      </c>
      <c r="BL108" t="s">
        <v>546</v>
      </c>
      <c r="BM108" t="s">
        <v>74</v>
      </c>
      <c r="BN108">
        <v>32132711</v>
      </c>
      <c r="BO108" t="s">
        <v>74</v>
      </c>
      <c r="BP108" t="s">
        <v>74</v>
      </c>
      <c r="BQ108" t="s">
        <v>74</v>
      </c>
      <c r="BR108" t="s">
        <v>93</v>
      </c>
      <c r="BS108" t="s">
        <v>3827</v>
      </c>
      <c r="BT108" t="str">
        <f>HYPERLINK("https%3A%2F%2Fwww.webofscience.com%2Fwos%2Fwoscc%2Ffull-record%2FWOS:000518098200002","View Full Record in Web of Science")</f>
        <v>View Full Record in Web of Science</v>
      </c>
    </row>
    <row r="109" spans="1:72" x14ac:dyDescent="0.15">
      <c r="A109" t="s">
        <v>72</v>
      </c>
      <c r="B109" t="s">
        <v>10329</v>
      </c>
      <c r="C109" t="s">
        <v>74</v>
      </c>
      <c r="D109" t="s">
        <v>74</v>
      </c>
      <c r="E109" t="s">
        <v>74</v>
      </c>
      <c r="F109" t="s">
        <v>10330</v>
      </c>
      <c r="G109" t="s">
        <v>74</v>
      </c>
      <c r="H109" t="s">
        <v>74</v>
      </c>
      <c r="I109" t="s">
        <v>10331</v>
      </c>
      <c r="J109" t="s">
        <v>10332</v>
      </c>
      <c r="K109" t="s">
        <v>74</v>
      </c>
      <c r="L109" t="s">
        <v>74</v>
      </c>
      <c r="M109" t="s">
        <v>74</v>
      </c>
      <c r="N109" t="s">
        <v>78</v>
      </c>
      <c r="O109" t="s">
        <v>74</v>
      </c>
      <c r="P109" t="s">
        <v>74</v>
      </c>
      <c r="Q109" t="s">
        <v>74</v>
      </c>
      <c r="R109" t="s">
        <v>74</v>
      </c>
      <c r="S109" t="s">
        <v>74</v>
      </c>
      <c r="T109" t="s">
        <v>10333</v>
      </c>
      <c r="U109" t="s">
        <v>10334</v>
      </c>
      <c r="V109" t="s">
        <v>10335</v>
      </c>
      <c r="W109" t="s">
        <v>10336</v>
      </c>
      <c r="X109" t="s">
        <v>10337</v>
      </c>
      <c r="Y109" t="s">
        <v>10338</v>
      </c>
      <c r="Z109" t="s">
        <v>10339</v>
      </c>
      <c r="AA109" t="s">
        <v>74</v>
      </c>
      <c r="AB109" t="s">
        <v>74</v>
      </c>
      <c r="AC109" t="s">
        <v>74</v>
      </c>
      <c r="AD109" t="s">
        <v>74</v>
      </c>
      <c r="AE109" t="s">
        <v>74</v>
      </c>
      <c r="AF109" t="s">
        <v>74</v>
      </c>
      <c r="AG109">
        <v>49</v>
      </c>
      <c r="AH109">
        <v>70</v>
      </c>
      <c r="AI109">
        <v>78</v>
      </c>
      <c r="AJ109">
        <v>2</v>
      </c>
      <c r="AK109">
        <v>24</v>
      </c>
      <c r="AL109" t="s">
        <v>74</v>
      </c>
      <c r="AM109" t="s">
        <v>74</v>
      </c>
      <c r="AN109" t="s">
        <v>74</v>
      </c>
      <c r="AO109" t="s">
        <v>10340</v>
      </c>
      <c r="AP109" t="s">
        <v>74</v>
      </c>
      <c r="AQ109" t="s">
        <v>74</v>
      </c>
      <c r="AR109" t="s">
        <v>74</v>
      </c>
      <c r="AS109" t="s">
        <v>74</v>
      </c>
      <c r="AT109" t="s">
        <v>818</v>
      </c>
      <c r="AU109">
        <v>2018</v>
      </c>
      <c r="AV109">
        <v>9</v>
      </c>
      <c r="AW109">
        <v>4</v>
      </c>
      <c r="AX109" t="s">
        <v>74</v>
      </c>
      <c r="AY109" t="s">
        <v>74</v>
      </c>
      <c r="AZ109" t="s">
        <v>74</v>
      </c>
      <c r="BA109" t="s">
        <v>74</v>
      </c>
      <c r="BB109">
        <v>755</v>
      </c>
      <c r="BC109">
        <v>770</v>
      </c>
      <c r="BD109" t="s">
        <v>74</v>
      </c>
      <c r="BE109" t="s">
        <v>10341</v>
      </c>
      <c r="BF109" t="str">
        <f>HYPERLINK("http://dx.doi.org/10.1002/jcsm.12296","http://dx.doi.org/10.1002/jcsm.12296")</f>
        <v>http://dx.doi.org/10.1002/jcsm.12296</v>
      </c>
      <c r="BG109" t="s">
        <v>74</v>
      </c>
      <c r="BH109" t="s">
        <v>74</v>
      </c>
      <c r="BI109" t="s">
        <v>74</v>
      </c>
      <c r="BJ109" t="s">
        <v>10342</v>
      </c>
      <c r="BK109" t="s">
        <v>112</v>
      </c>
      <c r="BL109" t="s">
        <v>10343</v>
      </c>
      <c r="BM109" t="s">
        <v>74</v>
      </c>
      <c r="BN109">
        <v>29582582</v>
      </c>
      <c r="BO109" t="s">
        <v>74</v>
      </c>
      <c r="BP109" t="s">
        <v>74</v>
      </c>
      <c r="BQ109" t="s">
        <v>74</v>
      </c>
      <c r="BR109" t="s">
        <v>93</v>
      </c>
      <c r="BS109" t="s">
        <v>10344</v>
      </c>
      <c r="BT109" t="str">
        <f>HYPERLINK("https%3A%2F%2Fwww.webofscience.com%2Fwos%2Fwoscc%2Ffull-record%2FWOS:000442345000012","View Full Record in Web of Science")</f>
        <v>View Full Record in Web of Science</v>
      </c>
    </row>
    <row r="110" spans="1:72" x14ac:dyDescent="0.15">
      <c r="A110" t="s">
        <v>72</v>
      </c>
      <c r="B110" t="s">
        <v>2673</v>
      </c>
      <c r="C110" t="s">
        <v>74</v>
      </c>
      <c r="D110" t="s">
        <v>74</v>
      </c>
      <c r="E110" t="s">
        <v>74</v>
      </c>
      <c r="F110" t="s">
        <v>2674</v>
      </c>
      <c r="G110" t="s">
        <v>74</v>
      </c>
      <c r="H110" t="s">
        <v>74</v>
      </c>
      <c r="I110" t="s">
        <v>2675</v>
      </c>
      <c r="J110" t="s">
        <v>992</v>
      </c>
      <c r="K110" t="s">
        <v>74</v>
      </c>
      <c r="L110" t="s">
        <v>74</v>
      </c>
      <c r="M110" t="s">
        <v>74</v>
      </c>
      <c r="N110" t="s">
        <v>78</v>
      </c>
      <c r="O110" t="s">
        <v>74</v>
      </c>
      <c r="P110" t="s">
        <v>74</v>
      </c>
      <c r="Q110" t="s">
        <v>74</v>
      </c>
      <c r="R110" t="s">
        <v>74</v>
      </c>
      <c r="S110" t="s">
        <v>74</v>
      </c>
      <c r="T110" t="s">
        <v>2676</v>
      </c>
      <c r="U110" t="s">
        <v>2677</v>
      </c>
      <c r="V110" t="s">
        <v>2678</v>
      </c>
      <c r="W110" t="s">
        <v>2679</v>
      </c>
      <c r="X110" t="s">
        <v>2680</v>
      </c>
      <c r="Y110" t="s">
        <v>2681</v>
      </c>
      <c r="Z110" t="s">
        <v>2682</v>
      </c>
      <c r="AA110" t="s">
        <v>74</v>
      </c>
      <c r="AB110" t="s">
        <v>74</v>
      </c>
      <c r="AC110" t="s">
        <v>74</v>
      </c>
      <c r="AD110" t="s">
        <v>74</v>
      </c>
      <c r="AE110" t="s">
        <v>74</v>
      </c>
      <c r="AF110" t="s">
        <v>74</v>
      </c>
      <c r="AG110">
        <v>36</v>
      </c>
      <c r="AH110">
        <v>68</v>
      </c>
      <c r="AI110">
        <v>68</v>
      </c>
      <c r="AJ110">
        <v>38</v>
      </c>
      <c r="AK110">
        <v>406</v>
      </c>
      <c r="AL110" t="s">
        <v>74</v>
      </c>
      <c r="AM110" t="s">
        <v>74</v>
      </c>
      <c r="AN110" t="s">
        <v>74</v>
      </c>
      <c r="AO110" t="s">
        <v>1001</v>
      </c>
      <c r="AP110" t="s">
        <v>1002</v>
      </c>
      <c r="AQ110" t="s">
        <v>74</v>
      </c>
      <c r="AR110" t="s">
        <v>74</v>
      </c>
      <c r="AS110" t="s">
        <v>74</v>
      </c>
      <c r="AT110" t="s">
        <v>920</v>
      </c>
      <c r="AU110">
        <v>2019</v>
      </c>
      <c r="AV110">
        <v>142</v>
      </c>
      <c r="AW110" t="s">
        <v>74</v>
      </c>
      <c r="AX110" t="s">
        <v>74</v>
      </c>
      <c r="AY110" t="s">
        <v>74</v>
      </c>
      <c r="AZ110" t="s">
        <v>74</v>
      </c>
      <c r="BA110" t="s">
        <v>74</v>
      </c>
      <c r="BB110" t="s">
        <v>74</v>
      </c>
      <c r="BC110" t="s">
        <v>74</v>
      </c>
      <c r="BD110">
        <v>111503</v>
      </c>
      <c r="BE110" t="s">
        <v>2683</v>
      </c>
      <c r="BF110" t="str">
        <f>HYPERLINK("http://dx.doi.org/10.1016/j.bios.2019.111503","http://dx.doi.org/10.1016/j.bios.2019.111503")</f>
        <v>http://dx.doi.org/10.1016/j.bios.2019.111503</v>
      </c>
      <c r="BG110" t="s">
        <v>74</v>
      </c>
      <c r="BH110" t="s">
        <v>74</v>
      </c>
      <c r="BI110" t="s">
        <v>74</v>
      </c>
      <c r="BJ110" t="s">
        <v>1006</v>
      </c>
      <c r="BK110" t="s">
        <v>112</v>
      </c>
      <c r="BL110" t="s">
        <v>1007</v>
      </c>
      <c r="BM110" t="s">
        <v>74</v>
      </c>
      <c r="BN110">
        <v>31376716</v>
      </c>
      <c r="BO110" t="s">
        <v>74</v>
      </c>
      <c r="BP110" t="s">
        <v>74</v>
      </c>
      <c r="BQ110" t="s">
        <v>74</v>
      </c>
      <c r="BR110" t="s">
        <v>93</v>
      </c>
      <c r="BS110" t="s">
        <v>2684</v>
      </c>
      <c r="BT110" t="str">
        <f>HYPERLINK("https%3A%2F%2Fwww.webofscience.com%2Fwos%2Fwoscc%2Ffull-record%2FWOS:000487175000033","View Full Record in Web of Science")</f>
        <v>View Full Record in Web of Science</v>
      </c>
    </row>
    <row r="111" spans="1:72" x14ac:dyDescent="0.15">
      <c r="A111" t="s">
        <v>72</v>
      </c>
      <c r="B111" t="s">
        <v>3475</v>
      </c>
      <c r="C111" t="s">
        <v>74</v>
      </c>
      <c r="D111" t="s">
        <v>74</v>
      </c>
      <c r="E111" t="s">
        <v>74</v>
      </c>
      <c r="F111" t="s">
        <v>3476</v>
      </c>
      <c r="G111" t="s">
        <v>74</v>
      </c>
      <c r="H111" t="s">
        <v>74</v>
      </c>
      <c r="I111" t="s">
        <v>3477</v>
      </c>
      <c r="J111" t="s">
        <v>1828</v>
      </c>
      <c r="K111" t="s">
        <v>74</v>
      </c>
      <c r="L111" t="s">
        <v>74</v>
      </c>
      <c r="M111" t="s">
        <v>74</v>
      </c>
      <c r="N111" t="s">
        <v>78</v>
      </c>
      <c r="O111" t="s">
        <v>74</v>
      </c>
      <c r="P111" t="s">
        <v>74</v>
      </c>
      <c r="Q111" t="s">
        <v>74</v>
      </c>
      <c r="R111" t="s">
        <v>74</v>
      </c>
      <c r="S111" t="s">
        <v>74</v>
      </c>
      <c r="T111" t="s">
        <v>74</v>
      </c>
      <c r="U111" t="s">
        <v>3478</v>
      </c>
      <c r="V111" t="s">
        <v>3479</v>
      </c>
      <c r="W111" t="s">
        <v>3480</v>
      </c>
      <c r="X111" t="s">
        <v>3481</v>
      </c>
      <c r="Y111" t="s">
        <v>3482</v>
      </c>
      <c r="Z111" t="s">
        <v>3483</v>
      </c>
      <c r="AA111" t="s">
        <v>74</v>
      </c>
      <c r="AB111" t="s">
        <v>74</v>
      </c>
      <c r="AC111" t="s">
        <v>74</v>
      </c>
      <c r="AD111" t="s">
        <v>74</v>
      </c>
      <c r="AE111" t="s">
        <v>74</v>
      </c>
      <c r="AF111" t="s">
        <v>74</v>
      </c>
      <c r="AG111">
        <v>93</v>
      </c>
      <c r="AH111">
        <v>68</v>
      </c>
      <c r="AI111">
        <v>69</v>
      </c>
      <c r="AJ111">
        <v>5</v>
      </c>
      <c r="AK111">
        <v>25</v>
      </c>
      <c r="AL111" t="s">
        <v>74</v>
      </c>
      <c r="AM111" t="s">
        <v>74</v>
      </c>
      <c r="AN111" t="s">
        <v>74</v>
      </c>
      <c r="AO111" t="s">
        <v>1837</v>
      </c>
      <c r="AP111" t="s">
        <v>74</v>
      </c>
      <c r="AQ111" t="s">
        <v>74</v>
      </c>
      <c r="AR111" t="s">
        <v>74</v>
      </c>
      <c r="AS111" t="s">
        <v>74</v>
      </c>
      <c r="AT111" t="s">
        <v>1570</v>
      </c>
      <c r="AU111">
        <v>2019</v>
      </c>
      <c r="AV111">
        <v>9</v>
      </c>
      <c r="AW111" t="s">
        <v>74</v>
      </c>
      <c r="AX111" t="s">
        <v>74</v>
      </c>
      <c r="AY111" t="s">
        <v>74</v>
      </c>
      <c r="AZ111" t="s">
        <v>74</v>
      </c>
      <c r="BA111" t="s">
        <v>74</v>
      </c>
      <c r="BB111" t="s">
        <v>74</v>
      </c>
      <c r="BC111" t="s">
        <v>74</v>
      </c>
      <c r="BD111">
        <v>13012</v>
      </c>
      <c r="BE111" t="s">
        <v>3484</v>
      </c>
      <c r="BF111" t="str">
        <f>HYPERLINK("http://dx.doi.org/10.1038/s41598-019-49671-3","http://dx.doi.org/10.1038/s41598-019-49671-3")</f>
        <v>http://dx.doi.org/10.1038/s41598-019-49671-3</v>
      </c>
      <c r="BG111" t="s">
        <v>74</v>
      </c>
      <c r="BH111" t="s">
        <v>74</v>
      </c>
      <c r="BI111" t="s">
        <v>74</v>
      </c>
      <c r="BJ111" t="s">
        <v>545</v>
      </c>
      <c r="BK111" t="s">
        <v>112</v>
      </c>
      <c r="BL111" t="s">
        <v>546</v>
      </c>
      <c r="BM111" t="s">
        <v>74</v>
      </c>
      <c r="BN111">
        <v>31506601</v>
      </c>
      <c r="BO111" t="s">
        <v>74</v>
      </c>
      <c r="BP111" t="s">
        <v>74</v>
      </c>
      <c r="BQ111" t="s">
        <v>74</v>
      </c>
      <c r="BR111" t="s">
        <v>93</v>
      </c>
      <c r="BS111" t="s">
        <v>3485</v>
      </c>
      <c r="BT111" t="str">
        <f>HYPERLINK("https%3A%2F%2Fwww.webofscience.com%2Fwos%2Fwoscc%2Ffull-record%2FWOS:000484986300026","View Full Record in Web of Science")</f>
        <v>View Full Record in Web of Science</v>
      </c>
    </row>
    <row r="112" spans="1:72" x14ac:dyDescent="0.15">
      <c r="A112" t="s">
        <v>72</v>
      </c>
      <c r="B112" t="s">
        <v>4659</v>
      </c>
      <c r="C112" t="s">
        <v>74</v>
      </c>
      <c r="D112" t="s">
        <v>74</v>
      </c>
      <c r="E112" t="s">
        <v>74</v>
      </c>
      <c r="F112" t="s">
        <v>4660</v>
      </c>
      <c r="G112" t="s">
        <v>74</v>
      </c>
      <c r="H112" t="s">
        <v>74</v>
      </c>
      <c r="I112" t="s">
        <v>4661</v>
      </c>
      <c r="J112" t="s">
        <v>474</v>
      </c>
      <c r="K112" t="s">
        <v>74</v>
      </c>
      <c r="L112" t="s">
        <v>74</v>
      </c>
      <c r="M112" t="s">
        <v>74</v>
      </c>
      <c r="N112" t="s">
        <v>78</v>
      </c>
      <c r="O112" t="s">
        <v>74</v>
      </c>
      <c r="P112" t="s">
        <v>74</v>
      </c>
      <c r="Q112" t="s">
        <v>74</v>
      </c>
      <c r="R112" t="s">
        <v>74</v>
      </c>
      <c r="S112" t="s">
        <v>74</v>
      </c>
      <c r="T112" t="s">
        <v>4662</v>
      </c>
      <c r="U112" t="s">
        <v>4663</v>
      </c>
      <c r="V112" t="s">
        <v>4664</v>
      </c>
      <c r="W112" t="s">
        <v>4665</v>
      </c>
      <c r="X112" t="s">
        <v>4666</v>
      </c>
      <c r="Y112" t="s">
        <v>4667</v>
      </c>
      <c r="Z112" t="s">
        <v>4668</v>
      </c>
      <c r="AA112" t="s">
        <v>74</v>
      </c>
      <c r="AB112" t="s">
        <v>4669</v>
      </c>
      <c r="AC112" t="s">
        <v>74</v>
      </c>
      <c r="AD112" t="s">
        <v>74</v>
      </c>
      <c r="AE112" t="s">
        <v>74</v>
      </c>
      <c r="AF112" t="s">
        <v>74</v>
      </c>
      <c r="AG112">
        <v>47</v>
      </c>
      <c r="AH112">
        <v>65</v>
      </c>
      <c r="AI112">
        <v>69</v>
      </c>
      <c r="AJ112">
        <v>0</v>
      </c>
      <c r="AK112">
        <v>7</v>
      </c>
      <c r="AL112" t="s">
        <v>74</v>
      </c>
      <c r="AM112" t="s">
        <v>74</v>
      </c>
      <c r="AN112" t="s">
        <v>74</v>
      </c>
      <c r="AO112" t="s">
        <v>74</v>
      </c>
      <c r="AP112" t="s">
        <v>484</v>
      </c>
      <c r="AQ112" t="s">
        <v>74</v>
      </c>
      <c r="AR112" t="s">
        <v>74</v>
      </c>
      <c r="AS112" t="s">
        <v>74</v>
      </c>
      <c r="AT112" t="s">
        <v>4670</v>
      </c>
      <c r="AU112">
        <v>2016</v>
      </c>
      <c r="AV112">
        <v>7</v>
      </c>
      <c r="AW112">
        <v>37</v>
      </c>
      <c r="AX112" t="s">
        <v>74</v>
      </c>
      <c r="AY112" t="s">
        <v>74</v>
      </c>
      <c r="AZ112" t="s">
        <v>74</v>
      </c>
      <c r="BA112" t="s">
        <v>74</v>
      </c>
      <c r="BB112">
        <v>59173</v>
      </c>
      <c r="BC112">
        <v>59188</v>
      </c>
      <c r="BD112" t="s">
        <v>74</v>
      </c>
      <c r="BE112" t="s">
        <v>4671</v>
      </c>
      <c r="BF112" t="str">
        <f>HYPERLINK("http://dx.doi.org/10.18632/oncotarget.10384","http://dx.doi.org/10.18632/oncotarget.10384")</f>
        <v>http://dx.doi.org/10.18632/oncotarget.10384</v>
      </c>
      <c r="BG112" t="s">
        <v>74</v>
      </c>
      <c r="BH112" t="s">
        <v>74</v>
      </c>
      <c r="BI112" t="s">
        <v>74</v>
      </c>
      <c r="BJ112" t="s">
        <v>487</v>
      </c>
      <c r="BK112" t="s">
        <v>112</v>
      </c>
      <c r="BL112" t="s">
        <v>487</v>
      </c>
      <c r="BM112" t="s">
        <v>74</v>
      </c>
      <c r="BN112">
        <v>27385095</v>
      </c>
      <c r="BO112" t="s">
        <v>74</v>
      </c>
      <c r="BP112" t="s">
        <v>74</v>
      </c>
      <c r="BQ112" t="s">
        <v>74</v>
      </c>
      <c r="BR112" t="s">
        <v>93</v>
      </c>
      <c r="BS112" t="s">
        <v>4672</v>
      </c>
      <c r="BT112" t="str">
        <f>HYPERLINK("https%3A%2F%2Fwww.webofscience.com%2Fwos%2Fwoscc%2Ffull-record%2FWOS:000387153900034","View Full Record in Web of Science")</f>
        <v>View Full Record in Web of Science</v>
      </c>
    </row>
    <row r="113" spans="1:72" x14ac:dyDescent="0.15">
      <c r="A113" t="s">
        <v>72</v>
      </c>
      <c r="B113" t="s">
        <v>1716</v>
      </c>
      <c r="C113" t="s">
        <v>74</v>
      </c>
      <c r="D113" t="s">
        <v>74</v>
      </c>
      <c r="E113" t="s">
        <v>74</v>
      </c>
      <c r="F113" t="s">
        <v>1717</v>
      </c>
      <c r="G113" t="s">
        <v>74</v>
      </c>
      <c r="H113" t="s">
        <v>74</v>
      </c>
      <c r="I113" t="s">
        <v>1718</v>
      </c>
      <c r="J113" t="s">
        <v>1719</v>
      </c>
      <c r="K113" t="s">
        <v>74</v>
      </c>
      <c r="L113" t="s">
        <v>74</v>
      </c>
      <c r="M113" t="s">
        <v>74</v>
      </c>
      <c r="N113" t="s">
        <v>78</v>
      </c>
      <c r="O113" t="s">
        <v>74</v>
      </c>
      <c r="P113" t="s">
        <v>74</v>
      </c>
      <c r="Q113" t="s">
        <v>74</v>
      </c>
      <c r="R113" t="s">
        <v>74</v>
      </c>
      <c r="S113" t="s">
        <v>74</v>
      </c>
      <c r="T113" t="s">
        <v>1720</v>
      </c>
      <c r="U113" t="s">
        <v>1721</v>
      </c>
      <c r="V113" t="s">
        <v>1722</v>
      </c>
      <c r="W113" t="s">
        <v>1723</v>
      </c>
      <c r="X113" t="s">
        <v>1724</v>
      </c>
      <c r="Y113" t="s">
        <v>1725</v>
      </c>
      <c r="Z113" t="s">
        <v>1726</v>
      </c>
      <c r="AA113" t="s">
        <v>1727</v>
      </c>
      <c r="AB113" t="s">
        <v>1728</v>
      </c>
      <c r="AC113" t="s">
        <v>74</v>
      </c>
      <c r="AD113" t="s">
        <v>74</v>
      </c>
      <c r="AE113" t="s">
        <v>74</v>
      </c>
      <c r="AF113" t="s">
        <v>74</v>
      </c>
      <c r="AG113">
        <v>28</v>
      </c>
      <c r="AH113">
        <v>63</v>
      </c>
      <c r="AI113">
        <v>66</v>
      </c>
      <c r="AJ113">
        <v>1</v>
      </c>
      <c r="AK113">
        <v>19</v>
      </c>
      <c r="AL113" t="s">
        <v>74</v>
      </c>
      <c r="AM113" t="s">
        <v>74</v>
      </c>
      <c r="AN113" t="s">
        <v>74</v>
      </c>
      <c r="AO113" t="s">
        <v>1729</v>
      </c>
      <c r="AP113" t="s">
        <v>74</v>
      </c>
      <c r="AQ113" t="s">
        <v>74</v>
      </c>
      <c r="AR113" t="s">
        <v>74</v>
      </c>
      <c r="AS113" t="s">
        <v>74</v>
      </c>
      <c r="AT113" t="s">
        <v>503</v>
      </c>
      <c r="AU113">
        <v>2017</v>
      </c>
      <c r="AV113">
        <v>87</v>
      </c>
      <c r="AW113" t="s">
        <v>74</v>
      </c>
      <c r="AX113" t="s">
        <v>74</v>
      </c>
      <c r="AY113" t="s">
        <v>74</v>
      </c>
      <c r="AZ113" t="s">
        <v>74</v>
      </c>
      <c r="BA113" t="s">
        <v>74</v>
      </c>
      <c r="BB113">
        <v>114</v>
      </c>
      <c r="BC113">
        <v>121</v>
      </c>
      <c r="BD113" t="s">
        <v>74</v>
      </c>
      <c r="BE113" t="s">
        <v>1730</v>
      </c>
      <c r="BF113" t="str">
        <f>HYPERLINK("http://dx.doi.org/10.1016/j.molimm.2017.03.011","http://dx.doi.org/10.1016/j.molimm.2017.03.011")</f>
        <v>http://dx.doi.org/10.1016/j.molimm.2017.03.011</v>
      </c>
      <c r="BG113" t="s">
        <v>74</v>
      </c>
      <c r="BH113" t="s">
        <v>74</v>
      </c>
      <c r="BI113" t="s">
        <v>74</v>
      </c>
      <c r="BJ113" t="s">
        <v>1731</v>
      </c>
      <c r="BK113" t="s">
        <v>112</v>
      </c>
      <c r="BL113" t="s">
        <v>1731</v>
      </c>
      <c r="BM113" t="s">
        <v>74</v>
      </c>
      <c r="BN113">
        <v>28433888</v>
      </c>
      <c r="BO113" t="s">
        <v>74</v>
      </c>
      <c r="BP113" t="s">
        <v>74</v>
      </c>
      <c r="BQ113" t="s">
        <v>74</v>
      </c>
      <c r="BR113" t="s">
        <v>93</v>
      </c>
      <c r="BS113" t="s">
        <v>1732</v>
      </c>
      <c r="BT113" t="str">
        <f>HYPERLINK("https%3A%2F%2Fwww.webofscience.com%2Fwos%2Fwoscc%2Ffull-record%2FWOS:000403863100012","View Full Record in Web of Science")</f>
        <v>View Full Record in Web of Science</v>
      </c>
    </row>
    <row r="114" spans="1:72" x14ac:dyDescent="0.15">
      <c r="A114" t="s">
        <v>72</v>
      </c>
      <c r="B114" t="s">
        <v>3329</v>
      </c>
      <c r="C114" t="s">
        <v>74</v>
      </c>
      <c r="D114" t="s">
        <v>74</v>
      </c>
      <c r="E114" t="s">
        <v>74</v>
      </c>
      <c r="F114" t="s">
        <v>3330</v>
      </c>
      <c r="G114" t="s">
        <v>74</v>
      </c>
      <c r="H114" t="s">
        <v>74</v>
      </c>
      <c r="I114" t="s">
        <v>3331</v>
      </c>
      <c r="J114" t="s">
        <v>3332</v>
      </c>
      <c r="K114" t="s">
        <v>74</v>
      </c>
      <c r="L114" t="s">
        <v>74</v>
      </c>
      <c r="M114" t="s">
        <v>74</v>
      </c>
      <c r="N114" t="s">
        <v>78</v>
      </c>
      <c r="O114" t="s">
        <v>74</v>
      </c>
      <c r="P114" t="s">
        <v>74</v>
      </c>
      <c r="Q114" t="s">
        <v>74</v>
      </c>
      <c r="R114" t="s">
        <v>74</v>
      </c>
      <c r="S114" t="s">
        <v>74</v>
      </c>
      <c r="T114" t="s">
        <v>3333</v>
      </c>
      <c r="U114" t="s">
        <v>3334</v>
      </c>
      <c r="V114" t="s">
        <v>3335</v>
      </c>
      <c r="W114" t="s">
        <v>3336</v>
      </c>
      <c r="X114" t="s">
        <v>3337</v>
      </c>
      <c r="Y114" t="s">
        <v>3338</v>
      </c>
      <c r="Z114" t="s">
        <v>3339</v>
      </c>
      <c r="AA114" t="s">
        <v>3340</v>
      </c>
      <c r="AB114" t="s">
        <v>3341</v>
      </c>
      <c r="AC114" t="s">
        <v>74</v>
      </c>
      <c r="AD114" t="s">
        <v>74</v>
      </c>
      <c r="AE114" t="s">
        <v>74</v>
      </c>
      <c r="AF114" t="s">
        <v>74</v>
      </c>
      <c r="AG114">
        <v>163</v>
      </c>
      <c r="AH114">
        <v>63</v>
      </c>
      <c r="AI114">
        <v>64</v>
      </c>
      <c r="AJ114">
        <v>5</v>
      </c>
      <c r="AK114">
        <v>54</v>
      </c>
      <c r="AL114" t="s">
        <v>74</v>
      </c>
      <c r="AM114" t="s">
        <v>74</v>
      </c>
      <c r="AN114" t="s">
        <v>74</v>
      </c>
      <c r="AO114" t="s">
        <v>3342</v>
      </c>
      <c r="AP114" t="s">
        <v>3343</v>
      </c>
      <c r="AQ114" t="s">
        <v>74</v>
      </c>
      <c r="AR114" t="s">
        <v>74</v>
      </c>
      <c r="AS114" t="s">
        <v>74</v>
      </c>
      <c r="AT114" t="s">
        <v>640</v>
      </c>
      <c r="AU114">
        <v>2018</v>
      </c>
      <c r="AV114">
        <v>148</v>
      </c>
      <c r="AW114" t="s">
        <v>74</v>
      </c>
      <c r="AX114" t="s">
        <v>74</v>
      </c>
      <c r="AY114" t="s">
        <v>74</v>
      </c>
      <c r="AZ114" t="s">
        <v>74</v>
      </c>
      <c r="BA114" t="s">
        <v>74</v>
      </c>
      <c r="BB114">
        <v>184</v>
      </c>
      <c r="BC114">
        <v>192</v>
      </c>
      <c r="BD114" t="s">
        <v>74</v>
      </c>
      <c r="BE114" t="s">
        <v>3344</v>
      </c>
      <c r="BF114" t="str">
        <f>HYPERLINK("http://dx.doi.org/10.1016/j.bcp.2017.12.020","http://dx.doi.org/10.1016/j.bcp.2017.12.020")</f>
        <v>http://dx.doi.org/10.1016/j.bcp.2017.12.020</v>
      </c>
      <c r="BG114" t="s">
        <v>74</v>
      </c>
      <c r="BH114" t="s">
        <v>74</v>
      </c>
      <c r="BI114" t="s">
        <v>74</v>
      </c>
      <c r="BJ114" t="s">
        <v>1275</v>
      </c>
      <c r="BK114" t="s">
        <v>112</v>
      </c>
      <c r="BL114" t="s">
        <v>1275</v>
      </c>
      <c r="BM114" t="s">
        <v>74</v>
      </c>
      <c r="BN114">
        <v>29305855</v>
      </c>
      <c r="BO114" t="s">
        <v>74</v>
      </c>
      <c r="BP114" t="s">
        <v>74</v>
      </c>
      <c r="BQ114" t="s">
        <v>74</v>
      </c>
      <c r="BR114" t="s">
        <v>93</v>
      </c>
      <c r="BS114" t="s">
        <v>3345</v>
      </c>
      <c r="BT114" t="str">
        <f>HYPERLINK("https%3A%2F%2Fwww.webofscience.com%2Fwos%2Fwoscc%2Ffull-record%2FWOS:000426141200016","View Full Record in Web of Science")</f>
        <v>View Full Record in Web of Science</v>
      </c>
    </row>
    <row r="115" spans="1:72" x14ac:dyDescent="0.15">
      <c r="A115" t="s">
        <v>72</v>
      </c>
      <c r="B115" t="s">
        <v>6063</v>
      </c>
      <c r="C115" t="s">
        <v>74</v>
      </c>
      <c r="D115" t="s">
        <v>74</v>
      </c>
      <c r="E115" t="s">
        <v>74</v>
      </c>
      <c r="F115" t="s">
        <v>6064</v>
      </c>
      <c r="G115" t="s">
        <v>74</v>
      </c>
      <c r="H115" t="s">
        <v>74</v>
      </c>
      <c r="I115" t="s">
        <v>6065</v>
      </c>
      <c r="J115" t="s">
        <v>2358</v>
      </c>
      <c r="K115" t="s">
        <v>74</v>
      </c>
      <c r="L115" t="s">
        <v>74</v>
      </c>
      <c r="M115" t="s">
        <v>74</v>
      </c>
      <c r="N115" t="s">
        <v>78</v>
      </c>
      <c r="O115" t="s">
        <v>74</v>
      </c>
      <c r="P115" t="s">
        <v>74</v>
      </c>
      <c r="Q115" t="s">
        <v>74</v>
      </c>
      <c r="R115" t="s">
        <v>74</v>
      </c>
      <c r="S115" t="s">
        <v>74</v>
      </c>
      <c r="T115" t="s">
        <v>74</v>
      </c>
      <c r="U115" t="s">
        <v>6066</v>
      </c>
      <c r="V115" t="s">
        <v>6067</v>
      </c>
      <c r="W115" t="s">
        <v>6068</v>
      </c>
      <c r="X115" t="s">
        <v>6069</v>
      </c>
      <c r="Y115" t="s">
        <v>6070</v>
      </c>
      <c r="Z115" t="s">
        <v>6071</v>
      </c>
      <c r="AA115" t="s">
        <v>6072</v>
      </c>
      <c r="AB115" t="s">
        <v>6073</v>
      </c>
      <c r="AC115" t="s">
        <v>74</v>
      </c>
      <c r="AD115" t="s">
        <v>74</v>
      </c>
      <c r="AE115" t="s">
        <v>74</v>
      </c>
      <c r="AF115" t="s">
        <v>74</v>
      </c>
      <c r="AG115">
        <v>30</v>
      </c>
      <c r="AH115">
        <v>63</v>
      </c>
      <c r="AI115">
        <v>63</v>
      </c>
      <c r="AJ115">
        <v>28</v>
      </c>
      <c r="AK115">
        <v>173</v>
      </c>
      <c r="AL115" t="s">
        <v>74</v>
      </c>
      <c r="AM115" t="s">
        <v>74</v>
      </c>
      <c r="AN115" t="s">
        <v>74</v>
      </c>
      <c r="AO115" t="s">
        <v>2367</v>
      </c>
      <c r="AP115" t="s">
        <v>2368</v>
      </c>
      <c r="AQ115" t="s">
        <v>74</v>
      </c>
      <c r="AR115" t="s">
        <v>74</v>
      </c>
      <c r="AS115" t="s">
        <v>74</v>
      </c>
      <c r="AT115" t="s">
        <v>2087</v>
      </c>
      <c r="AU115">
        <v>2018</v>
      </c>
      <c r="AV115">
        <v>10</v>
      </c>
      <c r="AW115">
        <v>43</v>
      </c>
      <c r="AX115" t="s">
        <v>74</v>
      </c>
      <c r="AY115" t="s">
        <v>74</v>
      </c>
      <c r="AZ115" t="s">
        <v>74</v>
      </c>
      <c r="BA115" t="s">
        <v>74</v>
      </c>
      <c r="BB115">
        <v>20289</v>
      </c>
      <c r="BC115">
        <v>20295</v>
      </c>
      <c r="BD115" t="s">
        <v>74</v>
      </c>
      <c r="BE115" t="s">
        <v>6074</v>
      </c>
      <c r="BF115" t="str">
        <f>HYPERLINK("http://dx.doi.org/10.1039/c8nr07720g","http://dx.doi.org/10.1039/c8nr07720g")</f>
        <v>http://dx.doi.org/10.1039/c8nr07720g</v>
      </c>
      <c r="BG115" t="s">
        <v>74</v>
      </c>
      <c r="BH115" t="s">
        <v>74</v>
      </c>
      <c r="BI115" t="s">
        <v>74</v>
      </c>
      <c r="BJ115" t="s">
        <v>2371</v>
      </c>
      <c r="BK115" t="s">
        <v>112</v>
      </c>
      <c r="BL115" t="s">
        <v>2124</v>
      </c>
      <c r="BM115" t="s">
        <v>74</v>
      </c>
      <c r="BN115">
        <v>30371719</v>
      </c>
      <c r="BO115" t="s">
        <v>74</v>
      </c>
      <c r="BP115" t="s">
        <v>74</v>
      </c>
      <c r="BQ115" t="s">
        <v>74</v>
      </c>
      <c r="BR115" t="s">
        <v>93</v>
      </c>
      <c r="BS115" t="s">
        <v>6075</v>
      </c>
      <c r="BT115" t="str">
        <f>HYPERLINK("https%3A%2F%2Fwww.webofscience.com%2Fwos%2Fwoscc%2Ffull-record%2FWOS:000451762800022","View Full Record in Web of Science")</f>
        <v>View Full Record in Web of Science</v>
      </c>
    </row>
    <row r="116" spans="1:72" x14ac:dyDescent="0.15">
      <c r="A116" t="s">
        <v>312</v>
      </c>
      <c r="B116" t="s">
        <v>6907</v>
      </c>
      <c r="C116" t="s">
        <v>74</v>
      </c>
      <c r="D116" t="s">
        <v>6908</v>
      </c>
      <c r="E116" t="s">
        <v>74</v>
      </c>
      <c r="F116" t="s">
        <v>6909</v>
      </c>
      <c r="G116" t="s">
        <v>74</v>
      </c>
      <c r="H116" t="s">
        <v>74</v>
      </c>
      <c r="I116" t="s">
        <v>6910</v>
      </c>
      <c r="J116" t="s">
        <v>6911</v>
      </c>
      <c r="K116" t="s">
        <v>6912</v>
      </c>
      <c r="L116" t="s">
        <v>74</v>
      </c>
      <c r="M116" t="s">
        <v>74</v>
      </c>
      <c r="N116" t="s">
        <v>319</v>
      </c>
      <c r="O116" t="s">
        <v>74</v>
      </c>
      <c r="P116" t="s">
        <v>74</v>
      </c>
      <c r="Q116" t="s">
        <v>74</v>
      </c>
      <c r="R116" t="s">
        <v>74</v>
      </c>
      <c r="S116" t="s">
        <v>74</v>
      </c>
      <c r="T116" t="s">
        <v>74</v>
      </c>
      <c r="U116" t="s">
        <v>6913</v>
      </c>
      <c r="V116" t="s">
        <v>6914</v>
      </c>
      <c r="W116" t="s">
        <v>6915</v>
      </c>
      <c r="X116" t="s">
        <v>6916</v>
      </c>
      <c r="Y116" t="s">
        <v>6917</v>
      </c>
      <c r="Z116" t="s">
        <v>6918</v>
      </c>
      <c r="AA116" t="s">
        <v>74</v>
      </c>
      <c r="AB116" t="s">
        <v>74</v>
      </c>
      <c r="AC116" t="s">
        <v>74</v>
      </c>
      <c r="AD116" t="s">
        <v>74</v>
      </c>
      <c r="AE116" t="s">
        <v>74</v>
      </c>
      <c r="AF116" t="s">
        <v>74</v>
      </c>
      <c r="AG116">
        <v>57</v>
      </c>
      <c r="AH116">
        <v>63</v>
      </c>
      <c r="AI116">
        <v>64</v>
      </c>
      <c r="AJ116">
        <v>0</v>
      </c>
      <c r="AK116">
        <v>13</v>
      </c>
      <c r="AL116" t="s">
        <v>74</v>
      </c>
      <c r="AM116" t="s">
        <v>74</v>
      </c>
      <c r="AN116" t="s">
        <v>74</v>
      </c>
      <c r="AO116" t="s">
        <v>6919</v>
      </c>
      <c r="AP116" t="s">
        <v>74</v>
      </c>
      <c r="AQ116" t="s">
        <v>6920</v>
      </c>
      <c r="AR116" t="s">
        <v>74</v>
      </c>
      <c r="AS116" t="s">
        <v>74</v>
      </c>
      <c r="AT116" t="s">
        <v>74</v>
      </c>
      <c r="AU116">
        <v>2014</v>
      </c>
      <c r="AV116">
        <v>24</v>
      </c>
      <c r="AW116" t="s">
        <v>74</v>
      </c>
      <c r="AX116" t="s">
        <v>74</v>
      </c>
      <c r="AY116" t="s">
        <v>74</v>
      </c>
      <c r="AZ116" t="s">
        <v>74</v>
      </c>
      <c r="BA116" t="s">
        <v>74</v>
      </c>
      <c r="BB116">
        <v>88</v>
      </c>
      <c r="BC116">
        <v>98</v>
      </c>
      <c r="BD116" t="s">
        <v>74</v>
      </c>
      <c r="BE116" t="s">
        <v>6921</v>
      </c>
      <c r="BF116" t="str">
        <f>HYPERLINK("http://dx.doi.org/10.1159/000358791","http://dx.doi.org/10.1159/000358791")</f>
        <v>http://dx.doi.org/10.1159/000358791</v>
      </c>
      <c r="BG116" t="s">
        <v>74</v>
      </c>
      <c r="BH116" t="s">
        <v>74</v>
      </c>
      <c r="BI116" t="s">
        <v>74</v>
      </c>
      <c r="BJ116" t="s">
        <v>5645</v>
      </c>
      <c r="BK116" t="s">
        <v>334</v>
      </c>
      <c r="BL116" t="s">
        <v>5645</v>
      </c>
      <c r="BM116" t="s">
        <v>74</v>
      </c>
      <c r="BN116">
        <v>24862597</v>
      </c>
      <c r="BO116" t="s">
        <v>74</v>
      </c>
      <c r="BP116" t="s">
        <v>74</v>
      </c>
      <c r="BQ116" t="s">
        <v>74</v>
      </c>
      <c r="BR116" t="s">
        <v>93</v>
      </c>
      <c r="BS116" t="s">
        <v>6922</v>
      </c>
      <c r="BT116" t="str">
        <f>HYPERLINK("https%3A%2F%2Fwww.webofscience.com%2Fwos%2Fwoscc%2Ffull-record%2FWOS:000341360500009","View Full Record in Web of Science")</f>
        <v>View Full Record in Web of Science</v>
      </c>
    </row>
    <row r="117" spans="1:72" x14ac:dyDescent="0.15">
      <c r="A117" t="s">
        <v>72</v>
      </c>
      <c r="B117" t="s">
        <v>9535</v>
      </c>
      <c r="C117" t="s">
        <v>74</v>
      </c>
      <c r="D117" t="s">
        <v>74</v>
      </c>
      <c r="E117" t="s">
        <v>74</v>
      </c>
      <c r="F117" t="s">
        <v>9536</v>
      </c>
      <c r="G117" t="s">
        <v>74</v>
      </c>
      <c r="H117" t="s">
        <v>74</v>
      </c>
      <c r="I117" t="s">
        <v>9537</v>
      </c>
      <c r="J117" t="s">
        <v>8862</v>
      </c>
      <c r="K117" t="s">
        <v>74</v>
      </c>
      <c r="L117" t="s">
        <v>74</v>
      </c>
      <c r="M117" t="s">
        <v>74</v>
      </c>
      <c r="N117" t="s">
        <v>78</v>
      </c>
      <c r="O117" t="s">
        <v>74</v>
      </c>
      <c r="P117" t="s">
        <v>74</v>
      </c>
      <c r="Q117" t="s">
        <v>74</v>
      </c>
      <c r="R117" t="s">
        <v>74</v>
      </c>
      <c r="S117" t="s">
        <v>74</v>
      </c>
      <c r="T117" t="s">
        <v>74</v>
      </c>
      <c r="U117" t="s">
        <v>9538</v>
      </c>
      <c r="V117" t="s">
        <v>9539</v>
      </c>
      <c r="W117" t="s">
        <v>9540</v>
      </c>
      <c r="X117" t="s">
        <v>9541</v>
      </c>
      <c r="Y117" t="s">
        <v>9542</v>
      </c>
      <c r="Z117" t="s">
        <v>9543</v>
      </c>
      <c r="AA117" t="s">
        <v>74</v>
      </c>
      <c r="AB117" t="s">
        <v>74</v>
      </c>
      <c r="AC117" t="s">
        <v>74</v>
      </c>
      <c r="AD117" t="s">
        <v>74</v>
      </c>
      <c r="AE117" t="s">
        <v>74</v>
      </c>
      <c r="AF117" t="s">
        <v>74</v>
      </c>
      <c r="AG117">
        <v>89</v>
      </c>
      <c r="AH117">
        <v>63</v>
      </c>
      <c r="AI117">
        <v>63</v>
      </c>
      <c r="AJ117">
        <v>0</v>
      </c>
      <c r="AK117">
        <v>25</v>
      </c>
      <c r="AL117" t="s">
        <v>74</v>
      </c>
      <c r="AM117" t="s">
        <v>74</v>
      </c>
      <c r="AN117" t="s">
        <v>74</v>
      </c>
      <c r="AO117" t="s">
        <v>8869</v>
      </c>
      <c r="AP117" t="s">
        <v>74</v>
      </c>
      <c r="AQ117" t="s">
        <v>74</v>
      </c>
      <c r="AR117" t="s">
        <v>74</v>
      </c>
      <c r="AS117" t="s">
        <v>74</v>
      </c>
      <c r="AT117" t="s">
        <v>9544</v>
      </c>
      <c r="AU117">
        <v>2011</v>
      </c>
      <c r="AV117">
        <v>50</v>
      </c>
      <c r="AW117">
        <v>21</v>
      </c>
      <c r="AX117" t="s">
        <v>74</v>
      </c>
      <c r="AY117" t="s">
        <v>74</v>
      </c>
      <c r="AZ117" t="s">
        <v>74</v>
      </c>
      <c r="BA117" t="s">
        <v>74</v>
      </c>
      <c r="BB117">
        <v>4650</v>
      </c>
      <c r="BC117">
        <v>4664</v>
      </c>
      <c r="BD117" t="s">
        <v>74</v>
      </c>
      <c r="BE117" t="s">
        <v>9545</v>
      </c>
      <c r="BF117" t="str">
        <f>HYPERLINK("http://dx.doi.org/10.1021/bi1019429","http://dx.doi.org/10.1021/bi1019429")</f>
        <v>http://dx.doi.org/10.1021/bi1019429</v>
      </c>
      <c r="BG117" t="s">
        <v>74</v>
      </c>
      <c r="BH117" t="s">
        <v>74</v>
      </c>
      <c r="BI117" t="s">
        <v>74</v>
      </c>
      <c r="BJ117" t="s">
        <v>92</v>
      </c>
      <c r="BK117" t="s">
        <v>112</v>
      </c>
      <c r="BL117" t="s">
        <v>92</v>
      </c>
      <c r="BM117" t="s">
        <v>74</v>
      </c>
      <c r="BN117">
        <v>21491915</v>
      </c>
      <c r="BO117" t="s">
        <v>74</v>
      </c>
      <c r="BP117" t="s">
        <v>74</v>
      </c>
      <c r="BQ117" t="s">
        <v>74</v>
      </c>
      <c r="BR117" t="s">
        <v>93</v>
      </c>
      <c r="BS117" t="s">
        <v>9546</v>
      </c>
      <c r="BT117" t="str">
        <f>HYPERLINK("https%3A%2F%2Fwww.webofscience.com%2Fwos%2Fwoscc%2Ffull-record%2FWOS:000290837400026","View Full Record in Web of Science")</f>
        <v>View Full Record in Web of Science</v>
      </c>
    </row>
    <row r="118" spans="1:72" x14ac:dyDescent="0.15">
      <c r="A118" t="s">
        <v>72</v>
      </c>
      <c r="B118" t="s">
        <v>203</v>
      </c>
      <c r="C118" t="s">
        <v>74</v>
      </c>
      <c r="D118" t="s">
        <v>74</v>
      </c>
      <c r="E118" t="s">
        <v>74</v>
      </c>
      <c r="F118" t="s">
        <v>204</v>
      </c>
      <c r="G118" t="s">
        <v>74</v>
      </c>
      <c r="H118" t="s">
        <v>74</v>
      </c>
      <c r="I118" t="s">
        <v>205</v>
      </c>
      <c r="J118" t="s">
        <v>206</v>
      </c>
      <c r="K118" t="s">
        <v>74</v>
      </c>
      <c r="L118" t="s">
        <v>74</v>
      </c>
      <c r="M118" t="s">
        <v>74</v>
      </c>
      <c r="N118" t="s">
        <v>78</v>
      </c>
      <c r="O118" t="s">
        <v>74</v>
      </c>
      <c r="P118" t="s">
        <v>74</v>
      </c>
      <c r="Q118" t="s">
        <v>74</v>
      </c>
      <c r="R118" t="s">
        <v>74</v>
      </c>
      <c r="S118" t="s">
        <v>74</v>
      </c>
      <c r="T118" t="s">
        <v>207</v>
      </c>
      <c r="U118" t="s">
        <v>208</v>
      </c>
      <c r="V118" t="s">
        <v>209</v>
      </c>
      <c r="W118" t="s">
        <v>210</v>
      </c>
      <c r="X118" t="s">
        <v>211</v>
      </c>
      <c r="Y118" t="s">
        <v>212</v>
      </c>
      <c r="Z118" t="s">
        <v>213</v>
      </c>
      <c r="AA118" t="s">
        <v>214</v>
      </c>
      <c r="AB118" t="s">
        <v>215</v>
      </c>
      <c r="AC118" t="s">
        <v>74</v>
      </c>
      <c r="AD118" t="s">
        <v>74</v>
      </c>
      <c r="AE118" t="s">
        <v>74</v>
      </c>
      <c r="AF118" t="s">
        <v>74</v>
      </c>
      <c r="AG118">
        <v>54</v>
      </c>
      <c r="AH118">
        <v>62</v>
      </c>
      <c r="AI118">
        <v>64</v>
      </c>
      <c r="AJ118">
        <v>3</v>
      </c>
      <c r="AK118">
        <v>25</v>
      </c>
      <c r="AL118" t="s">
        <v>74</v>
      </c>
      <c r="AM118" t="s">
        <v>74</v>
      </c>
      <c r="AN118" t="s">
        <v>74</v>
      </c>
      <c r="AO118" t="s">
        <v>216</v>
      </c>
      <c r="AP118" t="s">
        <v>74</v>
      </c>
      <c r="AQ118" t="s">
        <v>74</v>
      </c>
      <c r="AR118" t="s">
        <v>74</v>
      </c>
      <c r="AS118" t="s">
        <v>74</v>
      </c>
      <c r="AT118" t="s">
        <v>108</v>
      </c>
      <c r="AU118">
        <v>2018</v>
      </c>
      <c r="AV118">
        <v>153</v>
      </c>
      <c r="AW118">
        <v>1</v>
      </c>
      <c r="AX118" t="s">
        <v>74</v>
      </c>
      <c r="AY118" t="s">
        <v>74</v>
      </c>
      <c r="AZ118" t="s">
        <v>74</v>
      </c>
      <c r="BA118" t="s">
        <v>74</v>
      </c>
      <c r="BB118">
        <v>210</v>
      </c>
      <c r="BC118">
        <v>216</v>
      </c>
      <c r="BD118" t="s">
        <v>74</v>
      </c>
      <c r="BE118" t="s">
        <v>217</v>
      </c>
      <c r="BF118" t="str">
        <f>HYPERLINK("http://dx.doi.org/10.1016/j.chest.2017.06.026","http://dx.doi.org/10.1016/j.chest.2017.06.026")</f>
        <v>http://dx.doi.org/10.1016/j.chest.2017.06.026</v>
      </c>
      <c r="BG118" t="s">
        <v>74</v>
      </c>
      <c r="BH118" t="s">
        <v>74</v>
      </c>
      <c r="BI118" t="s">
        <v>74</v>
      </c>
      <c r="BJ118" t="s">
        <v>218</v>
      </c>
      <c r="BK118" t="s">
        <v>112</v>
      </c>
      <c r="BL118" t="s">
        <v>219</v>
      </c>
      <c r="BM118" t="s">
        <v>74</v>
      </c>
      <c r="BN118">
        <v>28684288</v>
      </c>
      <c r="BO118" t="s">
        <v>74</v>
      </c>
      <c r="BP118" t="s">
        <v>74</v>
      </c>
      <c r="BQ118" t="s">
        <v>74</v>
      </c>
      <c r="BR118" t="s">
        <v>93</v>
      </c>
      <c r="BS118" t="s">
        <v>220</v>
      </c>
      <c r="BT118" t="str">
        <f>HYPERLINK("https%3A%2F%2Fwww.webofscience.com%2Fwos%2Fwoscc%2Ffull-record%2FWOS:000422771600033","View Full Record in Web of Science")</f>
        <v>View Full Record in Web of Science</v>
      </c>
    </row>
    <row r="119" spans="1:72" x14ac:dyDescent="0.15">
      <c r="A119" t="s">
        <v>72</v>
      </c>
      <c r="B119" t="s">
        <v>1638</v>
      </c>
      <c r="C119" t="s">
        <v>74</v>
      </c>
      <c r="D119" t="s">
        <v>74</v>
      </c>
      <c r="E119" t="s">
        <v>74</v>
      </c>
      <c r="F119" t="s">
        <v>1639</v>
      </c>
      <c r="G119" t="s">
        <v>74</v>
      </c>
      <c r="H119" t="s">
        <v>74</v>
      </c>
      <c r="I119" t="s">
        <v>1640</v>
      </c>
      <c r="J119" t="s">
        <v>406</v>
      </c>
      <c r="K119" t="s">
        <v>74</v>
      </c>
      <c r="L119" t="s">
        <v>74</v>
      </c>
      <c r="M119" t="s">
        <v>74</v>
      </c>
      <c r="N119" t="s">
        <v>78</v>
      </c>
      <c r="O119" t="s">
        <v>74</v>
      </c>
      <c r="P119" t="s">
        <v>74</v>
      </c>
      <c r="Q119" t="s">
        <v>74</v>
      </c>
      <c r="R119" t="s">
        <v>74</v>
      </c>
      <c r="S119" t="s">
        <v>74</v>
      </c>
      <c r="T119" t="s">
        <v>1641</v>
      </c>
      <c r="U119" t="s">
        <v>1642</v>
      </c>
      <c r="V119" t="s">
        <v>1643</v>
      </c>
      <c r="W119" t="s">
        <v>1644</v>
      </c>
      <c r="X119" t="s">
        <v>1645</v>
      </c>
      <c r="Y119" t="s">
        <v>1646</v>
      </c>
      <c r="Z119" t="s">
        <v>1647</v>
      </c>
      <c r="AA119" t="s">
        <v>1648</v>
      </c>
      <c r="AB119" t="s">
        <v>1649</v>
      </c>
      <c r="AC119" t="s">
        <v>74</v>
      </c>
      <c r="AD119" t="s">
        <v>74</v>
      </c>
      <c r="AE119" t="s">
        <v>74</v>
      </c>
      <c r="AF119" t="s">
        <v>74</v>
      </c>
      <c r="AG119">
        <v>88</v>
      </c>
      <c r="AH119">
        <v>62</v>
      </c>
      <c r="AI119">
        <v>65</v>
      </c>
      <c r="AJ119">
        <v>2</v>
      </c>
      <c r="AK119">
        <v>18</v>
      </c>
      <c r="AL119" t="s">
        <v>74</v>
      </c>
      <c r="AM119" t="s">
        <v>74</v>
      </c>
      <c r="AN119" t="s">
        <v>74</v>
      </c>
      <c r="AO119" t="s">
        <v>74</v>
      </c>
      <c r="AP119" t="s">
        <v>416</v>
      </c>
      <c r="AQ119" t="s">
        <v>74</v>
      </c>
      <c r="AR119" t="s">
        <v>74</v>
      </c>
      <c r="AS119" t="s">
        <v>74</v>
      </c>
      <c r="AT119" t="s">
        <v>728</v>
      </c>
      <c r="AU119">
        <v>2020</v>
      </c>
      <c r="AV119">
        <v>9</v>
      </c>
      <c r="AW119">
        <v>1</v>
      </c>
      <c r="AX119" t="s">
        <v>74</v>
      </c>
      <c r="AY119" t="s">
        <v>74</v>
      </c>
      <c r="AZ119" t="s">
        <v>74</v>
      </c>
      <c r="BA119" t="s">
        <v>74</v>
      </c>
      <c r="BB119" t="s">
        <v>74</v>
      </c>
      <c r="BC119" t="s">
        <v>74</v>
      </c>
      <c r="BD119">
        <v>1725285</v>
      </c>
      <c r="BE119" t="s">
        <v>1650</v>
      </c>
      <c r="BF119" t="str">
        <f>HYPERLINK("http://dx.doi.org/10.1080/20013078.2020.1725285","http://dx.doi.org/10.1080/20013078.2020.1725285")</f>
        <v>http://dx.doi.org/10.1080/20013078.2020.1725285</v>
      </c>
      <c r="BG119" t="s">
        <v>74</v>
      </c>
      <c r="BH119" t="s">
        <v>74</v>
      </c>
      <c r="BI119" t="s">
        <v>74</v>
      </c>
      <c r="BJ119" t="s">
        <v>419</v>
      </c>
      <c r="BK119" t="s">
        <v>112</v>
      </c>
      <c r="BL119" t="s">
        <v>419</v>
      </c>
      <c r="BM119" t="s">
        <v>74</v>
      </c>
      <c r="BN119">
        <v>32158519</v>
      </c>
      <c r="BO119" t="s">
        <v>74</v>
      </c>
      <c r="BP119" t="s">
        <v>74</v>
      </c>
      <c r="BQ119" t="s">
        <v>74</v>
      </c>
      <c r="BR119" t="s">
        <v>93</v>
      </c>
      <c r="BS119" t="s">
        <v>1651</v>
      </c>
      <c r="BT119" t="str">
        <f>HYPERLINK("https%3A%2F%2Fwww.webofscience.com%2Fwos%2Fwoscc%2Ffull-record%2FWOS:000546688100001","View Full Record in Web of Science")</f>
        <v>View Full Record in Web of Science</v>
      </c>
    </row>
    <row r="120" spans="1:72" x14ac:dyDescent="0.15">
      <c r="A120" t="s">
        <v>72</v>
      </c>
      <c r="B120" t="s">
        <v>10689</v>
      </c>
      <c r="C120" t="s">
        <v>74</v>
      </c>
      <c r="D120" t="s">
        <v>74</v>
      </c>
      <c r="E120" t="s">
        <v>74</v>
      </c>
      <c r="F120" t="s">
        <v>10690</v>
      </c>
      <c r="G120" t="s">
        <v>74</v>
      </c>
      <c r="H120" t="s">
        <v>74</v>
      </c>
      <c r="I120" t="s">
        <v>10691</v>
      </c>
      <c r="J120" t="s">
        <v>10692</v>
      </c>
      <c r="K120" t="s">
        <v>74</v>
      </c>
      <c r="L120" t="s">
        <v>74</v>
      </c>
      <c r="M120" t="s">
        <v>74</v>
      </c>
      <c r="N120" t="s">
        <v>78</v>
      </c>
      <c r="O120" t="s">
        <v>74</v>
      </c>
      <c r="P120" t="s">
        <v>74</v>
      </c>
      <c r="Q120" t="s">
        <v>74</v>
      </c>
      <c r="R120" t="s">
        <v>74</v>
      </c>
      <c r="S120" t="s">
        <v>74</v>
      </c>
      <c r="T120" t="s">
        <v>74</v>
      </c>
      <c r="U120" t="s">
        <v>10693</v>
      </c>
      <c r="V120" t="s">
        <v>10694</v>
      </c>
      <c r="W120" t="s">
        <v>10695</v>
      </c>
      <c r="X120" t="s">
        <v>10696</v>
      </c>
      <c r="Y120" t="s">
        <v>10697</v>
      </c>
      <c r="Z120" t="s">
        <v>8673</v>
      </c>
      <c r="AA120" t="s">
        <v>10698</v>
      </c>
      <c r="AB120" t="s">
        <v>10699</v>
      </c>
      <c r="AC120" t="s">
        <v>74</v>
      </c>
      <c r="AD120" t="s">
        <v>74</v>
      </c>
      <c r="AE120" t="s">
        <v>74</v>
      </c>
      <c r="AF120" t="s">
        <v>74</v>
      </c>
      <c r="AG120">
        <v>50</v>
      </c>
      <c r="AH120">
        <v>62</v>
      </c>
      <c r="AI120">
        <v>63</v>
      </c>
      <c r="AJ120">
        <v>2</v>
      </c>
      <c r="AK120">
        <v>11</v>
      </c>
      <c r="AL120" t="s">
        <v>74</v>
      </c>
      <c r="AM120" t="s">
        <v>74</v>
      </c>
      <c r="AN120" t="s">
        <v>74</v>
      </c>
      <c r="AO120" t="s">
        <v>10700</v>
      </c>
      <c r="AP120" t="s">
        <v>74</v>
      </c>
      <c r="AQ120" t="s">
        <v>74</v>
      </c>
      <c r="AR120" t="s">
        <v>74</v>
      </c>
      <c r="AS120" t="s">
        <v>74</v>
      </c>
      <c r="AT120" t="s">
        <v>728</v>
      </c>
      <c r="AU120">
        <v>2020</v>
      </c>
      <c r="AV120">
        <v>105</v>
      </c>
      <c r="AW120">
        <v>1</v>
      </c>
      <c r="AX120" t="s">
        <v>74</v>
      </c>
      <c r="AY120" t="s">
        <v>74</v>
      </c>
      <c r="AZ120" t="s">
        <v>74</v>
      </c>
      <c r="BA120" t="s">
        <v>74</v>
      </c>
      <c r="BB120">
        <v>218</v>
      </c>
      <c r="BC120">
        <v>225</v>
      </c>
      <c r="BD120" t="s">
        <v>74</v>
      </c>
      <c r="BE120" t="s">
        <v>10701</v>
      </c>
      <c r="BF120" t="str">
        <f>HYPERLINK("http://dx.doi.org/10.3324/haematol.2019.217083","http://dx.doi.org/10.3324/haematol.2019.217083")</f>
        <v>http://dx.doi.org/10.3324/haematol.2019.217083</v>
      </c>
      <c r="BG120" t="s">
        <v>74</v>
      </c>
      <c r="BH120" t="s">
        <v>74</v>
      </c>
      <c r="BI120" t="s">
        <v>74</v>
      </c>
      <c r="BJ120" t="s">
        <v>1899</v>
      </c>
      <c r="BK120" t="s">
        <v>112</v>
      </c>
      <c r="BL120" t="s">
        <v>1899</v>
      </c>
      <c r="BM120" t="s">
        <v>74</v>
      </c>
      <c r="BN120">
        <v>31048354</v>
      </c>
      <c r="BO120" t="s">
        <v>74</v>
      </c>
      <c r="BP120" t="s">
        <v>74</v>
      </c>
      <c r="BQ120" t="s">
        <v>74</v>
      </c>
      <c r="BR120" t="s">
        <v>93</v>
      </c>
      <c r="BS120" t="s">
        <v>10702</v>
      </c>
      <c r="BT120" t="str">
        <f>HYPERLINK("https%3A%2F%2Fwww.webofscience.com%2Fwos%2Fwoscc%2Ffull-record%2FWOS:000505041200037","View Full Record in Web of Science")</f>
        <v>View Full Record in Web of Science</v>
      </c>
    </row>
    <row r="121" spans="1:72" x14ac:dyDescent="0.15">
      <c r="A121" t="s">
        <v>72</v>
      </c>
      <c r="B121" t="s">
        <v>10103</v>
      </c>
      <c r="C121" t="s">
        <v>74</v>
      </c>
      <c r="D121" t="s">
        <v>74</v>
      </c>
      <c r="E121" t="s">
        <v>74</v>
      </c>
      <c r="F121" t="s">
        <v>10104</v>
      </c>
      <c r="G121" t="s">
        <v>74</v>
      </c>
      <c r="H121" t="s">
        <v>74</v>
      </c>
      <c r="I121" t="s">
        <v>10105</v>
      </c>
      <c r="J121" t="s">
        <v>10106</v>
      </c>
      <c r="K121" t="s">
        <v>74</v>
      </c>
      <c r="L121" t="s">
        <v>74</v>
      </c>
      <c r="M121" t="s">
        <v>74</v>
      </c>
      <c r="N121" t="s">
        <v>78</v>
      </c>
      <c r="O121" t="s">
        <v>74</v>
      </c>
      <c r="P121" t="s">
        <v>74</v>
      </c>
      <c r="Q121" t="s">
        <v>74</v>
      </c>
      <c r="R121" t="s">
        <v>74</v>
      </c>
      <c r="S121" t="s">
        <v>74</v>
      </c>
      <c r="T121" t="s">
        <v>10107</v>
      </c>
      <c r="U121" t="s">
        <v>10108</v>
      </c>
      <c r="V121" t="s">
        <v>10109</v>
      </c>
      <c r="W121" t="s">
        <v>10110</v>
      </c>
      <c r="X121" t="s">
        <v>10111</v>
      </c>
      <c r="Y121" t="s">
        <v>10112</v>
      </c>
      <c r="Z121" t="s">
        <v>10113</v>
      </c>
      <c r="AA121" t="s">
        <v>10114</v>
      </c>
      <c r="AB121" t="s">
        <v>10115</v>
      </c>
      <c r="AC121" t="s">
        <v>74</v>
      </c>
      <c r="AD121" t="s">
        <v>74</v>
      </c>
      <c r="AE121" t="s">
        <v>74</v>
      </c>
      <c r="AF121" t="s">
        <v>74</v>
      </c>
      <c r="AG121">
        <v>68</v>
      </c>
      <c r="AH121">
        <v>61</v>
      </c>
      <c r="AI121">
        <v>65</v>
      </c>
      <c r="AJ121">
        <v>0</v>
      </c>
      <c r="AK121">
        <v>6</v>
      </c>
      <c r="AL121" t="s">
        <v>74</v>
      </c>
      <c r="AM121" t="s">
        <v>74</v>
      </c>
      <c r="AN121" t="s">
        <v>74</v>
      </c>
      <c r="AO121" t="s">
        <v>10116</v>
      </c>
      <c r="AP121" t="s">
        <v>10117</v>
      </c>
      <c r="AQ121" t="s">
        <v>74</v>
      </c>
      <c r="AR121" t="s">
        <v>74</v>
      </c>
      <c r="AS121" t="s">
        <v>74</v>
      </c>
      <c r="AT121" t="s">
        <v>10118</v>
      </c>
      <c r="AU121">
        <v>2019</v>
      </c>
      <c r="AV121">
        <v>11</v>
      </c>
      <c r="AW121" t="s">
        <v>74</v>
      </c>
      <c r="AX121" t="s">
        <v>74</v>
      </c>
      <c r="AY121" t="s">
        <v>74</v>
      </c>
      <c r="AZ121" t="s">
        <v>74</v>
      </c>
      <c r="BA121" t="s">
        <v>74</v>
      </c>
      <c r="BB121" t="s">
        <v>74</v>
      </c>
      <c r="BC121" t="s">
        <v>74</v>
      </c>
      <c r="BD121">
        <v>59</v>
      </c>
      <c r="BE121" t="s">
        <v>10119</v>
      </c>
      <c r="BF121" t="str">
        <f>HYPERLINK("http://dx.doi.org/10.1186/s13148-019-0650-0","http://dx.doi.org/10.1186/s13148-019-0650-0")</f>
        <v>http://dx.doi.org/10.1186/s13148-019-0650-0</v>
      </c>
      <c r="BG121" t="s">
        <v>74</v>
      </c>
      <c r="BH121" t="s">
        <v>74</v>
      </c>
      <c r="BI121" t="s">
        <v>74</v>
      </c>
      <c r="BJ121" t="s">
        <v>8240</v>
      </c>
      <c r="BK121" t="s">
        <v>112</v>
      </c>
      <c r="BL121" t="s">
        <v>8240</v>
      </c>
      <c r="BM121" t="s">
        <v>74</v>
      </c>
      <c r="BN121">
        <v>30953539</v>
      </c>
      <c r="BO121" t="s">
        <v>74</v>
      </c>
      <c r="BP121" t="s">
        <v>74</v>
      </c>
      <c r="BQ121" t="s">
        <v>74</v>
      </c>
      <c r="BR121" t="s">
        <v>93</v>
      </c>
      <c r="BS121" t="s">
        <v>10120</v>
      </c>
      <c r="BT121" t="str">
        <f>HYPERLINK("https%3A%2F%2Fwww.webofscience.com%2Fwos%2Fwoscc%2Ffull-record%2FWOS:000463786100001","View Full Record in Web of Science")</f>
        <v>View Full Record in Web of Science</v>
      </c>
    </row>
    <row r="122" spans="1:72" x14ac:dyDescent="0.15">
      <c r="A122" t="s">
        <v>72</v>
      </c>
      <c r="B122" t="s">
        <v>6377</v>
      </c>
      <c r="C122" t="s">
        <v>74</v>
      </c>
      <c r="D122" t="s">
        <v>74</v>
      </c>
      <c r="E122" t="s">
        <v>74</v>
      </c>
      <c r="F122" t="s">
        <v>6378</v>
      </c>
      <c r="G122" t="s">
        <v>74</v>
      </c>
      <c r="H122" t="s">
        <v>74</v>
      </c>
      <c r="I122" t="s">
        <v>6379</v>
      </c>
      <c r="J122" t="s">
        <v>992</v>
      </c>
      <c r="K122" t="s">
        <v>74</v>
      </c>
      <c r="L122" t="s">
        <v>74</v>
      </c>
      <c r="M122" t="s">
        <v>74</v>
      </c>
      <c r="N122" t="s">
        <v>78</v>
      </c>
      <c r="O122" t="s">
        <v>74</v>
      </c>
      <c r="P122" t="s">
        <v>74</v>
      </c>
      <c r="Q122" t="s">
        <v>74</v>
      </c>
      <c r="R122" t="s">
        <v>74</v>
      </c>
      <c r="S122" t="s">
        <v>74</v>
      </c>
      <c r="T122" t="s">
        <v>6380</v>
      </c>
      <c r="U122" t="s">
        <v>6381</v>
      </c>
      <c r="V122" t="s">
        <v>6382</v>
      </c>
      <c r="W122" t="s">
        <v>6383</v>
      </c>
      <c r="X122" t="s">
        <v>6384</v>
      </c>
      <c r="Y122" t="s">
        <v>6385</v>
      </c>
      <c r="Z122" t="s">
        <v>6386</v>
      </c>
      <c r="AA122" t="s">
        <v>74</v>
      </c>
      <c r="AB122" t="s">
        <v>5709</v>
      </c>
      <c r="AC122" t="s">
        <v>74</v>
      </c>
      <c r="AD122" t="s">
        <v>74</v>
      </c>
      <c r="AE122" t="s">
        <v>74</v>
      </c>
      <c r="AF122" t="s">
        <v>74</v>
      </c>
      <c r="AG122">
        <v>32</v>
      </c>
      <c r="AH122">
        <v>57</v>
      </c>
      <c r="AI122">
        <v>56</v>
      </c>
      <c r="AJ122">
        <v>19</v>
      </c>
      <c r="AK122">
        <v>214</v>
      </c>
      <c r="AL122" t="s">
        <v>74</v>
      </c>
      <c r="AM122" t="s">
        <v>74</v>
      </c>
      <c r="AN122" t="s">
        <v>74</v>
      </c>
      <c r="AO122" t="s">
        <v>1001</v>
      </c>
      <c r="AP122" t="s">
        <v>1002</v>
      </c>
      <c r="AQ122" t="s">
        <v>74</v>
      </c>
      <c r="AR122" t="s">
        <v>74</v>
      </c>
      <c r="AS122" t="s">
        <v>74</v>
      </c>
      <c r="AT122" t="s">
        <v>4316</v>
      </c>
      <c r="AU122">
        <v>2019</v>
      </c>
      <c r="AV122">
        <v>141</v>
      </c>
      <c r="AW122" t="s">
        <v>74</v>
      </c>
      <c r="AX122" t="s">
        <v>74</v>
      </c>
      <c r="AY122" t="s">
        <v>74</v>
      </c>
      <c r="AZ122" t="s">
        <v>74</v>
      </c>
      <c r="BA122" t="s">
        <v>74</v>
      </c>
      <c r="BB122" t="s">
        <v>74</v>
      </c>
      <c r="BC122" t="s">
        <v>74</v>
      </c>
      <c r="BD122">
        <v>111397</v>
      </c>
      <c r="BE122" t="s">
        <v>6387</v>
      </c>
      <c r="BF122" t="str">
        <f>HYPERLINK("http://dx.doi.org/10.1016/j.bios.2019.111397","http://dx.doi.org/10.1016/j.bios.2019.111397")</f>
        <v>http://dx.doi.org/10.1016/j.bios.2019.111397</v>
      </c>
      <c r="BG122" t="s">
        <v>74</v>
      </c>
      <c r="BH122" t="s">
        <v>74</v>
      </c>
      <c r="BI122" t="s">
        <v>74</v>
      </c>
      <c r="BJ122" t="s">
        <v>1006</v>
      </c>
      <c r="BK122" t="s">
        <v>112</v>
      </c>
      <c r="BL122" t="s">
        <v>1007</v>
      </c>
      <c r="BM122" t="s">
        <v>74</v>
      </c>
      <c r="BN122">
        <v>31200334</v>
      </c>
      <c r="BO122" t="s">
        <v>74</v>
      </c>
      <c r="BP122" t="s">
        <v>74</v>
      </c>
      <c r="BQ122" t="s">
        <v>74</v>
      </c>
      <c r="BR122" t="s">
        <v>93</v>
      </c>
      <c r="BS122" t="s">
        <v>6388</v>
      </c>
      <c r="BT122" t="str">
        <f>HYPERLINK("https%3A%2F%2Fwww.webofscience.com%2Fwos%2Fwoscc%2Ffull-record%2FWOS:000486132800023","View Full Record in Web of Science")</f>
        <v>View Full Record in Web of Science</v>
      </c>
    </row>
    <row r="123" spans="1:72" x14ac:dyDescent="0.15">
      <c r="A123" t="s">
        <v>72</v>
      </c>
      <c r="B123" t="s">
        <v>5712</v>
      </c>
      <c r="C123" t="s">
        <v>74</v>
      </c>
      <c r="D123" t="s">
        <v>74</v>
      </c>
      <c r="E123" t="s">
        <v>74</v>
      </c>
      <c r="F123" t="s">
        <v>5713</v>
      </c>
      <c r="G123" t="s">
        <v>74</v>
      </c>
      <c r="H123" t="s">
        <v>74</v>
      </c>
      <c r="I123" t="s">
        <v>5714</v>
      </c>
      <c r="J123" t="s">
        <v>2850</v>
      </c>
      <c r="K123" t="s">
        <v>74</v>
      </c>
      <c r="L123" t="s">
        <v>74</v>
      </c>
      <c r="M123" t="s">
        <v>74</v>
      </c>
      <c r="N123" t="s">
        <v>78</v>
      </c>
      <c r="O123" t="s">
        <v>74</v>
      </c>
      <c r="P123" t="s">
        <v>74</v>
      </c>
      <c r="Q123" t="s">
        <v>74</v>
      </c>
      <c r="R123" t="s">
        <v>74</v>
      </c>
      <c r="S123" t="s">
        <v>74</v>
      </c>
      <c r="T123" t="s">
        <v>74</v>
      </c>
      <c r="U123" t="s">
        <v>5715</v>
      </c>
      <c r="V123" t="s">
        <v>5716</v>
      </c>
      <c r="W123" t="s">
        <v>5717</v>
      </c>
      <c r="X123" t="s">
        <v>5718</v>
      </c>
      <c r="Y123" t="s">
        <v>5719</v>
      </c>
      <c r="Z123" t="s">
        <v>5720</v>
      </c>
      <c r="AA123" t="s">
        <v>5721</v>
      </c>
      <c r="AB123" t="s">
        <v>5722</v>
      </c>
      <c r="AC123" t="s">
        <v>74</v>
      </c>
      <c r="AD123" t="s">
        <v>74</v>
      </c>
      <c r="AE123" t="s">
        <v>74</v>
      </c>
      <c r="AF123" t="s">
        <v>74</v>
      </c>
      <c r="AG123">
        <v>60</v>
      </c>
      <c r="AH123">
        <v>56</v>
      </c>
      <c r="AI123">
        <v>56</v>
      </c>
      <c r="AJ123">
        <v>24</v>
      </c>
      <c r="AK123">
        <v>96</v>
      </c>
      <c r="AL123" t="s">
        <v>74</v>
      </c>
      <c r="AM123" t="s">
        <v>74</v>
      </c>
      <c r="AN123" t="s">
        <v>74</v>
      </c>
      <c r="AO123" t="s">
        <v>2859</v>
      </c>
      <c r="AP123" t="s">
        <v>74</v>
      </c>
      <c r="AQ123" t="s">
        <v>74</v>
      </c>
      <c r="AR123" t="s">
        <v>74</v>
      </c>
      <c r="AS123" t="s">
        <v>74</v>
      </c>
      <c r="AT123" t="s">
        <v>5723</v>
      </c>
      <c r="AU123">
        <v>2020</v>
      </c>
      <c r="AV123">
        <v>11</v>
      </c>
      <c r="AW123">
        <v>1</v>
      </c>
      <c r="AX123" t="s">
        <v>74</v>
      </c>
      <c r="AY123" t="s">
        <v>74</v>
      </c>
      <c r="AZ123" t="s">
        <v>74</v>
      </c>
      <c r="BA123" t="s">
        <v>74</v>
      </c>
      <c r="BB123" t="s">
        <v>74</v>
      </c>
      <c r="BC123" t="s">
        <v>74</v>
      </c>
      <c r="BD123">
        <v>4489</v>
      </c>
      <c r="BE123" t="s">
        <v>5724</v>
      </c>
      <c r="BF123" t="str">
        <f>HYPERLINK("http://dx.doi.org/10.1038/s41467-020-18311-0","http://dx.doi.org/10.1038/s41467-020-18311-0")</f>
        <v>http://dx.doi.org/10.1038/s41467-020-18311-0</v>
      </c>
      <c r="BG123" t="s">
        <v>74</v>
      </c>
      <c r="BH123" t="s">
        <v>74</v>
      </c>
      <c r="BI123" t="s">
        <v>74</v>
      </c>
      <c r="BJ123" t="s">
        <v>545</v>
      </c>
      <c r="BK123" t="s">
        <v>112</v>
      </c>
      <c r="BL123" t="s">
        <v>546</v>
      </c>
      <c r="BM123" t="s">
        <v>74</v>
      </c>
      <c r="BN123">
        <v>32895384</v>
      </c>
      <c r="BO123" t="s">
        <v>74</v>
      </c>
      <c r="BP123" t="s">
        <v>74</v>
      </c>
      <c r="BQ123" t="s">
        <v>74</v>
      </c>
      <c r="BR123" t="s">
        <v>93</v>
      </c>
      <c r="BS123" t="s">
        <v>5725</v>
      </c>
      <c r="BT123" t="str">
        <f>HYPERLINK("https%3A%2F%2Fwww.webofscience.com%2Fwos%2Fwoscc%2Ffull-record%2FWOS:000573248700001","View Full Record in Web of Science")</f>
        <v>View Full Record in Web of Science</v>
      </c>
    </row>
    <row r="124" spans="1:72" x14ac:dyDescent="0.15">
      <c r="A124" t="s">
        <v>72</v>
      </c>
      <c r="B124" t="s">
        <v>10642</v>
      </c>
      <c r="C124" t="s">
        <v>74</v>
      </c>
      <c r="D124" t="s">
        <v>74</v>
      </c>
      <c r="E124" t="s">
        <v>74</v>
      </c>
      <c r="F124" t="s">
        <v>10643</v>
      </c>
      <c r="G124" t="s">
        <v>74</v>
      </c>
      <c r="H124" t="s">
        <v>74</v>
      </c>
      <c r="I124" t="s">
        <v>10644</v>
      </c>
      <c r="J124" t="s">
        <v>9316</v>
      </c>
      <c r="K124" t="s">
        <v>74</v>
      </c>
      <c r="L124" t="s">
        <v>74</v>
      </c>
      <c r="M124" t="s">
        <v>74</v>
      </c>
      <c r="N124" t="s">
        <v>78</v>
      </c>
      <c r="O124" t="s">
        <v>74</v>
      </c>
      <c r="P124" t="s">
        <v>74</v>
      </c>
      <c r="Q124" t="s">
        <v>74</v>
      </c>
      <c r="R124" t="s">
        <v>74</v>
      </c>
      <c r="S124" t="s">
        <v>74</v>
      </c>
      <c r="T124" t="s">
        <v>10645</v>
      </c>
      <c r="U124" t="s">
        <v>10646</v>
      </c>
      <c r="V124" t="s">
        <v>10647</v>
      </c>
      <c r="W124" t="s">
        <v>10648</v>
      </c>
      <c r="X124" t="s">
        <v>9173</v>
      </c>
      <c r="Y124" t="s">
        <v>10649</v>
      </c>
      <c r="Z124" t="s">
        <v>10650</v>
      </c>
      <c r="AA124" t="s">
        <v>74</v>
      </c>
      <c r="AB124" t="s">
        <v>74</v>
      </c>
      <c r="AC124" t="s">
        <v>74</v>
      </c>
      <c r="AD124" t="s">
        <v>74</v>
      </c>
      <c r="AE124" t="s">
        <v>74</v>
      </c>
      <c r="AF124" t="s">
        <v>74</v>
      </c>
      <c r="AG124">
        <v>58</v>
      </c>
      <c r="AH124">
        <v>55</v>
      </c>
      <c r="AI124">
        <v>59</v>
      </c>
      <c r="AJ124">
        <v>0</v>
      </c>
      <c r="AK124">
        <v>16</v>
      </c>
      <c r="AL124" t="s">
        <v>74</v>
      </c>
      <c r="AM124" t="s">
        <v>74</v>
      </c>
      <c r="AN124" t="s">
        <v>74</v>
      </c>
      <c r="AO124" t="s">
        <v>9324</v>
      </c>
      <c r="AP124" t="s">
        <v>10383</v>
      </c>
      <c r="AQ124" t="s">
        <v>74</v>
      </c>
      <c r="AR124" t="s">
        <v>74</v>
      </c>
      <c r="AS124" t="s">
        <v>74</v>
      </c>
      <c r="AT124" t="s">
        <v>1111</v>
      </c>
      <c r="AU124">
        <v>2017</v>
      </c>
      <c r="AV124">
        <v>91</v>
      </c>
      <c r="AW124">
        <v>10</v>
      </c>
      <c r="AX124" t="s">
        <v>74</v>
      </c>
      <c r="AY124" t="s">
        <v>74</v>
      </c>
      <c r="AZ124" t="s">
        <v>74</v>
      </c>
      <c r="BA124" t="s">
        <v>74</v>
      </c>
      <c r="BB124" t="s">
        <v>74</v>
      </c>
      <c r="BC124" t="s">
        <v>74</v>
      </c>
      <c r="BD124" t="s">
        <v>10651</v>
      </c>
      <c r="BE124" t="s">
        <v>10652</v>
      </c>
      <c r="BF124" t="str">
        <f>HYPERLINK("http://dx.doi.org/10.1128/JVI.01919-16","http://dx.doi.org/10.1128/JVI.01919-16")</f>
        <v>http://dx.doi.org/10.1128/JVI.01919-16</v>
      </c>
      <c r="BG124" t="s">
        <v>74</v>
      </c>
      <c r="BH124" t="s">
        <v>74</v>
      </c>
      <c r="BI124" t="s">
        <v>74</v>
      </c>
      <c r="BJ124" t="s">
        <v>401</v>
      </c>
      <c r="BK124" t="s">
        <v>112</v>
      </c>
      <c r="BL124" t="s">
        <v>401</v>
      </c>
      <c r="BM124" t="s">
        <v>74</v>
      </c>
      <c r="BN124">
        <v>28148795</v>
      </c>
      <c r="BO124" t="s">
        <v>74</v>
      </c>
      <c r="BP124" t="s">
        <v>74</v>
      </c>
      <c r="BQ124" t="s">
        <v>74</v>
      </c>
      <c r="BR124" t="s">
        <v>93</v>
      </c>
      <c r="BS124" t="s">
        <v>10653</v>
      </c>
      <c r="BT124" t="str">
        <f>HYPERLINK("https%3A%2F%2Fwww.webofscience.com%2Fwos%2Fwoscc%2Ffull-record%2FWOS:000401227300023","View Full Record in Web of Science")</f>
        <v>View Full Record in Web of Science</v>
      </c>
    </row>
    <row r="125" spans="1:72" x14ac:dyDescent="0.15">
      <c r="A125" t="s">
        <v>72</v>
      </c>
      <c r="B125" t="s">
        <v>9193</v>
      </c>
      <c r="C125" t="s">
        <v>74</v>
      </c>
      <c r="D125" t="s">
        <v>74</v>
      </c>
      <c r="E125" t="s">
        <v>74</v>
      </c>
      <c r="F125" t="s">
        <v>9194</v>
      </c>
      <c r="G125" t="s">
        <v>74</v>
      </c>
      <c r="H125" t="s">
        <v>74</v>
      </c>
      <c r="I125" t="s">
        <v>9195</v>
      </c>
      <c r="J125" t="s">
        <v>9196</v>
      </c>
      <c r="K125" t="s">
        <v>74</v>
      </c>
      <c r="L125" t="s">
        <v>74</v>
      </c>
      <c r="M125" t="s">
        <v>74</v>
      </c>
      <c r="N125" t="s">
        <v>78</v>
      </c>
      <c r="O125" t="s">
        <v>74</v>
      </c>
      <c r="P125" t="s">
        <v>74</v>
      </c>
      <c r="Q125" t="s">
        <v>74</v>
      </c>
      <c r="R125" t="s">
        <v>74</v>
      </c>
      <c r="S125" t="s">
        <v>74</v>
      </c>
      <c r="T125" t="s">
        <v>74</v>
      </c>
      <c r="U125" t="s">
        <v>9197</v>
      </c>
      <c r="V125" t="s">
        <v>9198</v>
      </c>
      <c r="W125" t="s">
        <v>9199</v>
      </c>
      <c r="X125" t="s">
        <v>9200</v>
      </c>
      <c r="Y125" t="s">
        <v>9201</v>
      </c>
      <c r="Z125" t="s">
        <v>9202</v>
      </c>
      <c r="AA125" t="s">
        <v>74</v>
      </c>
      <c r="AB125" t="s">
        <v>9203</v>
      </c>
      <c r="AC125" t="s">
        <v>74</v>
      </c>
      <c r="AD125" t="s">
        <v>74</v>
      </c>
      <c r="AE125" t="s">
        <v>74</v>
      </c>
      <c r="AF125" t="s">
        <v>74</v>
      </c>
      <c r="AG125">
        <v>81</v>
      </c>
      <c r="AH125">
        <v>54</v>
      </c>
      <c r="AI125">
        <v>54</v>
      </c>
      <c r="AJ125">
        <v>3</v>
      </c>
      <c r="AK125">
        <v>25</v>
      </c>
      <c r="AL125" t="s">
        <v>74</v>
      </c>
      <c r="AM125" t="s">
        <v>74</v>
      </c>
      <c r="AN125" t="s">
        <v>74</v>
      </c>
      <c r="AO125" t="s">
        <v>9204</v>
      </c>
      <c r="AP125" t="s">
        <v>9205</v>
      </c>
      <c r="AQ125" t="s">
        <v>74</v>
      </c>
      <c r="AR125" t="s">
        <v>74</v>
      </c>
      <c r="AS125" t="s">
        <v>74</v>
      </c>
      <c r="AT125" t="s">
        <v>171</v>
      </c>
      <c r="AU125">
        <v>2018</v>
      </c>
      <c r="AV125">
        <v>67</v>
      </c>
      <c r="AW125">
        <v>12</v>
      </c>
      <c r="AX125" t="s">
        <v>74</v>
      </c>
      <c r="AY125" t="s">
        <v>74</v>
      </c>
      <c r="AZ125" t="s">
        <v>74</v>
      </c>
      <c r="BA125" t="s">
        <v>74</v>
      </c>
      <c r="BB125">
        <v>2204</v>
      </c>
      <c r="BC125">
        <v>2212</v>
      </c>
      <c r="BD125" t="s">
        <v>74</v>
      </c>
      <c r="BE125" t="s">
        <v>9206</v>
      </c>
      <c r="BF125" t="str">
        <f>HYPERLINK("http://dx.doi.org/10.1136/gutjnl-2017-315846","http://dx.doi.org/10.1136/gutjnl-2017-315846")</f>
        <v>http://dx.doi.org/10.1136/gutjnl-2017-315846</v>
      </c>
      <c r="BG125" t="s">
        <v>74</v>
      </c>
      <c r="BH125" t="s">
        <v>74</v>
      </c>
      <c r="BI125" t="s">
        <v>74</v>
      </c>
      <c r="BJ125" t="s">
        <v>5475</v>
      </c>
      <c r="BK125" t="s">
        <v>112</v>
      </c>
      <c r="BL125" t="s">
        <v>5475</v>
      </c>
      <c r="BM125" t="s">
        <v>74</v>
      </c>
      <c r="BN125">
        <v>30177542</v>
      </c>
      <c r="BO125" t="s">
        <v>74</v>
      </c>
      <c r="BP125" t="s">
        <v>74</v>
      </c>
      <c r="BQ125" t="s">
        <v>74</v>
      </c>
      <c r="BR125" t="s">
        <v>93</v>
      </c>
      <c r="BS125" t="s">
        <v>9207</v>
      </c>
      <c r="BT125" t="str">
        <f>HYPERLINK("https%3A%2F%2Fwww.webofscience.com%2Fwos%2Fwoscc%2Ffull-record%2FWOS:000451278400018","View Full Record in Web of Science")</f>
        <v>View Full Record in Web of Science</v>
      </c>
    </row>
    <row r="126" spans="1:72" x14ac:dyDescent="0.15">
      <c r="A126" t="s">
        <v>72</v>
      </c>
      <c r="B126" t="s">
        <v>6339</v>
      </c>
      <c r="C126" t="s">
        <v>74</v>
      </c>
      <c r="D126" t="s">
        <v>74</v>
      </c>
      <c r="E126" t="s">
        <v>74</v>
      </c>
      <c r="F126" t="s">
        <v>6340</v>
      </c>
      <c r="G126" t="s">
        <v>74</v>
      </c>
      <c r="H126" t="s">
        <v>74</v>
      </c>
      <c r="I126" t="s">
        <v>6341</v>
      </c>
      <c r="J126" t="s">
        <v>426</v>
      </c>
      <c r="K126" t="s">
        <v>74</v>
      </c>
      <c r="L126" t="s">
        <v>74</v>
      </c>
      <c r="M126" t="s">
        <v>74</v>
      </c>
      <c r="N126" t="s">
        <v>78</v>
      </c>
      <c r="O126" t="s">
        <v>74</v>
      </c>
      <c r="P126" t="s">
        <v>74</v>
      </c>
      <c r="Q126" t="s">
        <v>74</v>
      </c>
      <c r="R126" t="s">
        <v>74</v>
      </c>
      <c r="S126" t="s">
        <v>74</v>
      </c>
      <c r="T126" t="s">
        <v>6342</v>
      </c>
      <c r="U126" t="s">
        <v>6343</v>
      </c>
      <c r="V126" t="s">
        <v>6344</v>
      </c>
      <c r="W126" t="s">
        <v>6345</v>
      </c>
      <c r="X126" t="s">
        <v>6346</v>
      </c>
      <c r="Y126" t="s">
        <v>6347</v>
      </c>
      <c r="Z126" t="s">
        <v>6348</v>
      </c>
      <c r="AA126" t="s">
        <v>74</v>
      </c>
      <c r="AB126" t="s">
        <v>6349</v>
      </c>
      <c r="AC126" t="s">
        <v>74</v>
      </c>
      <c r="AD126" t="s">
        <v>74</v>
      </c>
      <c r="AE126" t="s">
        <v>74</v>
      </c>
      <c r="AF126" t="s">
        <v>74</v>
      </c>
      <c r="AG126">
        <v>27</v>
      </c>
      <c r="AH126">
        <v>53</v>
      </c>
      <c r="AI126">
        <v>54</v>
      </c>
      <c r="AJ126">
        <v>0</v>
      </c>
      <c r="AK126">
        <v>5</v>
      </c>
      <c r="AL126" t="s">
        <v>74</v>
      </c>
      <c r="AM126" t="s">
        <v>74</v>
      </c>
      <c r="AN126" t="s">
        <v>74</v>
      </c>
      <c r="AO126" t="s">
        <v>435</v>
      </c>
      <c r="AP126" t="s">
        <v>436</v>
      </c>
      <c r="AQ126" t="s">
        <v>74</v>
      </c>
      <c r="AR126" t="s">
        <v>74</v>
      </c>
      <c r="AS126" t="s">
        <v>74</v>
      </c>
      <c r="AT126" t="s">
        <v>6277</v>
      </c>
      <c r="AU126">
        <v>2009</v>
      </c>
      <c r="AV126">
        <v>69</v>
      </c>
      <c r="AW126">
        <v>7</v>
      </c>
      <c r="AX126" t="s">
        <v>74</v>
      </c>
      <c r="AY126" t="s">
        <v>74</v>
      </c>
      <c r="AZ126" t="s">
        <v>74</v>
      </c>
      <c r="BA126" t="s">
        <v>74</v>
      </c>
      <c r="BB126">
        <v>737</v>
      </c>
      <c r="BC126">
        <v>743</v>
      </c>
      <c r="BD126" t="s">
        <v>74</v>
      </c>
      <c r="BE126" t="s">
        <v>6350</v>
      </c>
      <c r="BF126" t="str">
        <f>HYPERLINK("http://dx.doi.org/10.1002/pros.20921","http://dx.doi.org/10.1002/pros.20921")</f>
        <v>http://dx.doi.org/10.1002/pros.20921</v>
      </c>
      <c r="BG126" t="s">
        <v>74</v>
      </c>
      <c r="BH126" t="s">
        <v>74</v>
      </c>
      <c r="BI126" t="s">
        <v>74</v>
      </c>
      <c r="BJ126" t="s">
        <v>439</v>
      </c>
      <c r="BK126" t="s">
        <v>112</v>
      </c>
      <c r="BL126" t="s">
        <v>439</v>
      </c>
      <c r="BM126" t="s">
        <v>74</v>
      </c>
      <c r="BN126">
        <v>19143024</v>
      </c>
      <c r="BO126" t="s">
        <v>74</v>
      </c>
      <c r="BP126" t="s">
        <v>74</v>
      </c>
      <c r="BQ126" t="s">
        <v>74</v>
      </c>
      <c r="BR126" t="s">
        <v>93</v>
      </c>
      <c r="BS126" t="s">
        <v>6351</v>
      </c>
      <c r="BT126" t="str">
        <f>HYPERLINK("https%3A%2F%2Fwww.webofscience.com%2Fwos%2Fwoscc%2Ffull-record%2FWOS:000265727700006","View Full Record in Web of Science")</f>
        <v>View Full Record in Web of Science</v>
      </c>
    </row>
    <row r="127" spans="1:72" x14ac:dyDescent="0.15">
      <c r="A127" t="s">
        <v>72</v>
      </c>
      <c r="B127" t="s">
        <v>1134</v>
      </c>
      <c r="C127" t="s">
        <v>74</v>
      </c>
      <c r="D127" t="s">
        <v>74</v>
      </c>
      <c r="E127" t="s">
        <v>74</v>
      </c>
      <c r="F127" t="s">
        <v>1135</v>
      </c>
      <c r="G127" t="s">
        <v>74</v>
      </c>
      <c r="H127" t="s">
        <v>74</v>
      </c>
      <c r="I127" t="s">
        <v>1136</v>
      </c>
      <c r="J127" t="s">
        <v>1137</v>
      </c>
      <c r="K127" t="s">
        <v>74</v>
      </c>
      <c r="L127" t="s">
        <v>74</v>
      </c>
      <c r="M127" t="s">
        <v>74</v>
      </c>
      <c r="N127" t="s">
        <v>78</v>
      </c>
      <c r="O127" t="s">
        <v>74</v>
      </c>
      <c r="P127" t="s">
        <v>74</v>
      </c>
      <c r="Q127" t="s">
        <v>74</v>
      </c>
      <c r="R127" t="s">
        <v>74</v>
      </c>
      <c r="S127" t="s">
        <v>74</v>
      </c>
      <c r="T127" t="s">
        <v>1138</v>
      </c>
      <c r="U127" t="s">
        <v>1139</v>
      </c>
      <c r="V127" t="s">
        <v>1140</v>
      </c>
      <c r="W127" t="s">
        <v>1141</v>
      </c>
      <c r="X127" t="s">
        <v>1142</v>
      </c>
      <c r="Y127" t="s">
        <v>1143</v>
      </c>
      <c r="Z127" t="s">
        <v>1144</v>
      </c>
      <c r="AA127" t="s">
        <v>1145</v>
      </c>
      <c r="AB127" t="s">
        <v>1146</v>
      </c>
      <c r="AC127" t="s">
        <v>74</v>
      </c>
      <c r="AD127" t="s">
        <v>74</v>
      </c>
      <c r="AE127" t="s">
        <v>74</v>
      </c>
      <c r="AF127" t="s">
        <v>74</v>
      </c>
      <c r="AG127">
        <v>44</v>
      </c>
      <c r="AH127">
        <v>52</v>
      </c>
      <c r="AI127">
        <v>53</v>
      </c>
      <c r="AJ127">
        <v>13</v>
      </c>
      <c r="AK127">
        <v>158</v>
      </c>
      <c r="AL127" t="s">
        <v>74</v>
      </c>
      <c r="AM127" t="s">
        <v>74</v>
      </c>
      <c r="AN127" t="s">
        <v>74</v>
      </c>
      <c r="AO127" t="s">
        <v>1147</v>
      </c>
      <c r="AP127" t="s">
        <v>74</v>
      </c>
      <c r="AQ127" t="s">
        <v>74</v>
      </c>
      <c r="AR127" t="s">
        <v>74</v>
      </c>
      <c r="AS127" t="s">
        <v>74</v>
      </c>
      <c r="AT127" t="s">
        <v>1111</v>
      </c>
      <c r="AU127">
        <v>2019</v>
      </c>
      <c r="AV127">
        <v>4</v>
      </c>
      <c r="AW127">
        <v>5</v>
      </c>
      <c r="AX127" t="s">
        <v>74</v>
      </c>
      <c r="AY127" t="s">
        <v>74</v>
      </c>
      <c r="AZ127" t="s">
        <v>74</v>
      </c>
      <c r="BA127" t="s">
        <v>74</v>
      </c>
      <c r="BB127">
        <v>1245</v>
      </c>
      <c r="BC127">
        <v>1251</v>
      </c>
      <c r="BD127" t="s">
        <v>74</v>
      </c>
      <c r="BE127" t="s">
        <v>1148</v>
      </c>
      <c r="BF127" t="str">
        <f>HYPERLINK("http://dx.doi.org/10.1021/acssensors.9b00060","http://dx.doi.org/10.1021/acssensors.9b00060")</f>
        <v>http://dx.doi.org/10.1021/acssensors.9b00060</v>
      </c>
      <c r="BG127" t="s">
        <v>74</v>
      </c>
      <c r="BH127" t="s">
        <v>74</v>
      </c>
      <c r="BI127" t="s">
        <v>74</v>
      </c>
      <c r="BJ127" t="s">
        <v>1149</v>
      </c>
      <c r="BK127" t="s">
        <v>112</v>
      </c>
      <c r="BL127" t="s">
        <v>1150</v>
      </c>
      <c r="BM127" t="s">
        <v>74</v>
      </c>
      <c r="BN127">
        <v>30915846</v>
      </c>
      <c r="BO127" t="s">
        <v>74</v>
      </c>
      <c r="BP127" t="s">
        <v>74</v>
      </c>
      <c r="BQ127" t="s">
        <v>74</v>
      </c>
      <c r="BR127" t="s">
        <v>93</v>
      </c>
      <c r="BS127" t="s">
        <v>1151</v>
      </c>
      <c r="BT127" t="str">
        <f>HYPERLINK("https%3A%2F%2Fwww.webofscience.com%2Fwos%2Fwoscc%2Ffull-record%2FWOS:000469410100016","View Full Record in Web of Science")</f>
        <v>View Full Record in Web of Science</v>
      </c>
    </row>
    <row r="128" spans="1:72" x14ac:dyDescent="0.15">
      <c r="A128" t="s">
        <v>72</v>
      </c>
      <c r="B128" t="s">
        <v>5339</v>
      </c>
      <c r="C128" t="s">
        <v>74</v>
      </c>
      <c r="D128" t="s">
        <v>74</v>
      </c>
      <c r="E128" t="s">
        <v>74</v>
      </c>
      <c r="F128" t="s">
        <v>5340</v>
      </c>
      <c r="G128" t="s">
        <v>74</v>
      </c>
      <c r="H128" t="s">
        <v>74</v>
      </c>
      <c r="I128" t="s">
        <v>5341</v>
      </c>
      <c r="J128" t="s">
        <v>1828</v>
      </c>
      <c r="K128" t="s">
        <v>74</v>
      </c>
      <c r="L128" t="s">
        <v>74</v>
      </c>
      <c r="M128" t="s">
        <v>74</v>
      </c>
      <c r="N128" t="s">
        <v>78</v>
      </c>
      <c r="O128" t="s">
        <v>74</v>
      </c>
      <c r="P128" t="s">
        <v>74</v>
      </c>
      <c r="Q128" t="s">
        <v>74</v>
      </c>
      <c r="R128" t="s">
        <v>74</v>
      </c>
      <c r="S128" t="s">
        <v>74</v>
      </c>
      <c r="T128" t="s">
        <v>74</v>
      </c>
      <c r="U128" t="s">
        <v>5342</v>
      </c>
      <c r="V128" t="s">
        <v>5343</v>
      </c>
      <c r="W128" t="s">
        <v>5344</v>
      </c>
      <c r="X128" t="s">
        <v>5345</v>
      </c>
      <c r="Y128" t="s">
        <v>5346</v>
      </c>
      <c r="Z128" t="s">
        <v>5347</v>
      </c>
      <c r="AA128" t="s">
        <v>5348</v>
      </c>
      <c r="AB128" t="s">
        <v>5349</v>
      </c>
      <c r="AC128" t="s">
        <v>74</v>
      </c>
      <c r="AD128" t="s">
        <v>74</v>
      </c>
      <c r="AE128" t="s">
        <v>74</v>
      </c>
      <c r="AF128" t="s">
        <v>74</v>
      </c>
      <c r="AG128">
        <v>42</v>
      </c>
      <c r="AH128">
        <v>52</v>
      </c>
      <c r="AI128">
        <v>53</v>
      </c>
      <c r="AJ128">
        <v>1</v>
      </c>
      <c r="AK128">
        <v>8</v>
      </c>
      <c r="AL128" t="s">
        <v>74</v>
      </c>
      <c r="AM128" t="s">
        <v>74</v>
      </c>
      <c r="AN128" t="s">
        <v>74</v>
      </c>
      <c r="AO128" t="s">
        <v>1837</v>
      </c>
      <c r="AP128" t="s">
        <v>74</v>
      </c>
      <c r="AQ128" t="s">
        <v>74</v>
      </c>
      <c r="AR128" t="s">
        <v>74</v>
      </c>
      <c r="AS128" t="s">
        <v>74</v>
      </c>
      <c r="AT128" t="s">
        <v>5350</v>
      </c>
      <c r="AU128">
        <v>2018</v>
      </c>
      <c r="AV128">
        <v>8</v>
      </c>
      <c r="AW128" t="s">
        <v>74</v>
      </c>
      <c r="AX128" t="s">
        <v>74</v>
      </c>
      <c r="AY128" t="s">
        <v>74</v>
      </c>
      <c r="AZ128" t="s">
        <v>74</v>
      </c>
      <c r="BA128" t="s">
        <v>74</v>
      </c>
      <c r="BB128" t="s">
        <v>74</v>
      </c>
      <c r="BC128" t="s">
        <v>74</v>
      </c>
      <c r="BD128">
        <v>914</v>
      </c>
      <c r="BE128" t="s">
        <v>5351</v>
      </c>
      <c r="BF128" t="str">
        <f>HYPERLINK("http://dx.doi.org/10.1038/s41598-018-19216-1","http://dx.doi.org/10.1038/s41598-018-19216-1")</f>
        <v>http://dx.doi.org/10.1038/s41598-018-19216-1</v>
      </c>
      <c r="BG128" t="s">
        <v>74</v>
      </c>
      <c r="BH128" t="s">
        <v>74</v>
      </c>
      <c r="BI128" t="s">
        <v>74</v>
      </c>
      <c r="BJ128" t="s">
        <v>545</v>
      </c>
      <c r="BK128" t="s">
        <v>112</v>
      </c>
      <c r="BL128" t="s">
        <v>546</v>
      </c>
      <c r="BM128" t="s">
        <v>74</v>
      </c>
      <c r="BN128">
        <v>29343810</v>
      </c>
      <c r="BO128" t="s">
        <v>74</v>
      </c>
      <c r="BP128" t="s">
        <v>74</v>
      </c>
      <c r="BQ128" t="s">
        <v>74</v>
      </c>
      <c r="BR128" t="s">
        <v>93</v>
      </c>
      <c r="BS128" t="s">
        <v>5352</v>
      </c>
      <c r="BT128" t="str">
        <f>HYPERLINK("https%3A%2F%2Fwww.webofscience.com%2Fwos%2Fwoscc%2Ffull-record%2FWOS:000422716900048","View Full Record in Web of Science")</f>
        <v>View Full Record in Web of Science</v>
      </c>
    </row>
    <row r="129" spans="1:72" x14ac:dyDescent="0.15">
      <c r="A129" t="s">
        <v>72</v>
      </c>
      <c r="B129" t="s">
        <v>132</v>
      </c>
      <c r="C129" t="s">
        <v>74</v>
      </c>
      <c r="D129" t="s">
        <v>74</v>
      </c>
      <c r="E129" t="s">
        <v>74</v>
      </c>
      <c r="F129" t="s">
        <v>133</v>
      </c>
      <c r="G129" t="s">
        <v>74</v>
      </c>
      <c r="H129" t="s">
        <v>74</v>
      </c>
      <c r="I129" t="s">
        <v>134</v>
      </c>
      <c r="J129" t="s">
        <v>135</v>
      </c>
      <c r="K129" t="s">
        <v>74</v>
      </c>
      <c r="L129" t="s">
        <v>74</v>
      </c>
      <c r="M129" t="s">
        <v>74</v>
      </c>
      <c r="N129" t="s">
        <v>78</v>
      </c>
      <c r="O129" t="s">
        <v>74</v>
      </c>
      <c r="P129" t="s">
        <v>74</v>
      </c>
      <c r="Q129" t="s">
        <v>74</v>
      </c>
      <c r="R129" t="s">
        <v>74</v>
      </c>
      <c r="S129" t="s">
        <v>74</v>
      </c>
      <c r="T129" t="s">
        <v>136</v>
      </c>
      <c r="U129" t="s">
        <v>137</v>
      </c>
      <c r="V129" t="s">
        <v>138</v>
      </c>
      <c r="W129" t="s">
        <v>139</v>
      </c>
      <c r="X129" t="s">
        <v>140</v>
      </c>
      <c r="Y129" t="s">
        <v>141</v>
      </c>
      <c r="Z129" t="s">
        <v>105</v>
      </c>
      <c r="AA129" t="s">
        <v>74</v>
      </c>
      <c r="AB129" t="s">
        <v>142</v>
      </c>
      <c r="AC129" t="s">
        <v>74</v>
      </c>
      <c r="AD129" t="s">
        <v>74</v>
      </c>
      <c r="AE129" t="s">
        <v>74</v>
      </c>
      <c r="AF129" t="s">
        <v>74</v>
      </c>
      <c r="AG129">
        <v>28</v>
      </c>
      <c r="AH129">
        <v>51</v>
      </c>
      <c r="AI129">
        <v>52</v>
      </c>
      <c r="AJ129">
        <v>0</v>
      </c>
      <c r="AK129">
        <v>5</v>
      </c>
      <c r="AL129" t="s">
        <v>74</v>
      </c>
      <c r="AM129" t="s">
        <v>74</v>
      </c>
      <c r="AN129" t="s">
        <v>74</v>
      </c>
      <c r="AO129" t="s">
        <v>143</v>
      </c>
      <c r="AP129" t="s">
        <v>74</v>
      </c>
      <c r="AQ129" t="s">
        <v>74</v>
      </c>
      <c r="AR129" t="s">
        <v>74</v>
      </c>
      <c r="AS129" t="s">
        <v>74</v>
      </c>
      <c r="AT129" t="s">
        <v>144</v>
      </c>
      <c r="AU129">
        <v>2018</v>
      </c>
      <c r="AV129">
        <v>18</v>
      </c>
      <c r="AW129" t="s">
        <v>74</v>
      </c>
      <c r="AX129" t="s">
        <v>74</v>
      </c>
      <c r="AY129" t="s">
        <v>74</v>
      </c>
      <c r="AZ129" t="s">
        <v>74</v>
      </c>
      <c r="BA129" t="s">
        <v>74</v>
      </c>
      <c r="BB129" t="s">
        <v>74</v>
      </c>
      <c r="BC129" t="s">
        <v>74</v>
      </c>
      <c r="BD129">
        <v>1236</v>
      </c>
      <c r="BE129" t="s">
        <v>145</v>
      </c>
      <c r="BF129" t="str">
        <f>HYPERLINK("http://dx.doi.org/10.1186/s12885-018-5138-3","http://dx.doi.org/10.1186/s12885-018-5138-3")</f>
        <v>http://dx.doi.org/10.1186/s12885-018-5138-3</v>
      </c>
      <c r="BG129" t="s">
        <v>74</v>
      </c>
      <c r="BH129" t="s">
        <v>74</v>
      </c>
      <c r="BI129" t="s">
        <v>74</v>
      </c>
      <c r="BJ129" t="s">
        <v>146</v>
      </c>
      <c r="BK129" t="s">
        <v>112</v>
      </c>
      <c r="BL129" t="s">
        <v>146</v>
      </c>
      <c r="BM129" t="s">
        <v>74</v>
      </c>
      <c r="BN129">
        <v>30526536</v>
      </c>
      <c r="BO129" t="s">
        <v>74</v>
      </c>
      <c r="BP129" t="s">
        <v>74</v>
      </c>
      <c r="BQ129" t="s">
        <v>74</v>
      </c>
      <c r="BR129" t="s">
        <v>93</v>
      </c>
      <c r="BS129" t="s">
        <v>147</v>
      </c>
      <c r="BT129" t="str">
        <f>HYPERLINK("https%3A%2F%2Fwww.webofscience.com%2Fwos%2Fwoscc%2Ffull-record%2FWOS:000452726600006","View Full Record in Web of Science")</f>
        <v>View Full Record in Web of Science</v>
      </c>
    </row>
    <row r="130" spans="1:72" x14ac:dyDescent="0.15">
      <c r="A130" t="s">
        <v>72</v>
      </c>
      <c r="B130" t="s">
        <v>3628</v>
      </c>
      <c r="C130" t="s">
        <v>74</v>
      </c>
      <c r="D130" t="s">
        <v>74</v>
      </c>
      <c r="E130" t="s">
        <v>74</v>
      </c>
      <c r="F130" t="s">
        <v>3629</v>
      </c>
      <c r="G130" t="s">
        <v>74</v>
      </c>
      <c r="H130" t="s">
        <v>74</v>
      </c>
      <c r="I130" t="s">
        <v>3630</v>
      </c>
      <c r="J130" t="s">
        <v>599</v>
      </c>
      <c r="K130" t="s">
        <v>74</v>
      </c>
      <c r="L130" t="s">
        <v>74</v>
      </c>
      <c r="M130" t="s">
        <v>74</v>
      </c>
      <c r="N130" t="s">
        <v>78</v>
      </c>
      <c r="O130" t="s">
        <v>74</v>
      </c>
      <c r="P130" t="s">
        <v>74</v>
      </c>
      <c r="Q130" t="s">
        <v>74</v>
      </c>
      <c r="R130" t="s">
        <v>74</v>
      </c>
      <c r="S130" t="s">
        <v>74</v>
      </c>
      <c r="T130" t="s">
        <v>3631</v>
      </c>
      <c r="U130" t="s">
        <v>3632</v>
      </c>
      <c r="V130" t="s">
        <v>3633</v>
      </c>
      <c r="W130" t="s">
        <v>3634</v>
      </c>
      <c r="X130" t="s">
        <v>3635</v>
      </c>
      <c r="Y130" t="s">
        <v>3636</v>
      </c>
      <c r="Z130" t="s">
        <v>3637</v>
      </c>
      <c r="AA130" t="s">
        <v>3638</v>
      </c>
      <c r="AB130" t="s">
        <v>3639</v>
      </c>
      <c r="AC130" t="s">
        <v>74</v>
      </c>
      <c r="AD130" t="s">
        <v>74</v>
      </c>
      <c r="AE130" t="s">
        <v>74</v>
      </c>
      <c r="AF130" t="s">
        <v>74</v>
      </c>
      <c r="AG130">
        <v>66</v>
      </c>
      <c r="AH130">
        <v>51</v>
      </c>
      <c r="AI130">
        <v>56</v>
      </c>
      <c r="AJ130">
        <v>0</v>
      </c>
      <c r="AK130">
        <v>26</v>
      </c>
      <c r="AL130" t="s">
        <v>74</v>
      </c>
      <c r="AM130" t="s">
        <v>74</v>
      </c>
      <c r="AN130" t="s">
        <v>74</v>
      </c>
      <c r="AO130" t="s">
        <v>609</v>
      </c>
      <c r="AP130" t="s">
        <v>74</v>
      </c>
      <c r="AQ130" t="s">
        <v>74</v>
      </c>
      <c r="AR130" t="s">
        <v>74</v>
      </c>
      <c r="AS130" t="s">
        <v>74</v>
      </c>
      <c r="AT130" t="s">
        <v>3640</v>
      </c>
      <c r="AU130">
        <v>2015</v>
      </c>
      <c r="AV130">
        <v>112</v>
      </c>
      <c r="AW130">
        <v>46</v>
      </c>
      <c r="AX130" t="s">
        <v>74</v>
      </c>
      <c r="AY130" t="s">
        <v>74</v>
      </c>
      <c r="AZ130" t="s">
        <v>74</v>
      </c>
      <c r="BA130" t="s">
        <v>74</v>
      </c>
      <c r="BB130" t="s">
        <v>3641</v>
      </c>
      <c r="BC130" t="s">
        <v>3642</v>
      </c>
      <c r="BD130" t="s">
        <v>74</v>
      </c>
      <c r="BE130" t="s">
        <v>3643</v>
      </c>
      <c r="BF130" t="str">
        <f>HYPERLINK("http://dx.doi.org/10.1073/pnas.1505962112","http://dx.doi.org/10.1073/pnas.1505962112")</f>
        <v>http://dx.doi.org/10.1073/pnas.1505962112</v>
      </c>
      <c r="BG130" t="s">
        <v>74</v>
      </c>
      <c r="BH130" t="s">
        <v>74</v>
      </c>
      <c r="BI130" t="s">
        <v>74</v>
      </c>
      <c r="BJ130" t="s">
        <v>545</v>
      </c>
      <c r="BK130" t="s">
        <v>112</v>
      </c>
      <c r="BL130" t="s">
        <v>546</v>
      </c>
      <c r="BM130" t="s">
        <v>74</v>
      </c>
      <c r="BN130">
        <v>26578789</v>
      </c>
      <c r="BO130" t="s">
        <v>74</v>
      </c>
      <c r="BP130" t="s">
        <v>74</v>
      </c>
      <c r="BQ130" t="s">
        <v>74</v>
      </c>
      <c r="BR130" t="s">
        <v>93</v>
      </c>
      <c r="BS130" t="s">
        <v>3644</v>
      </c>
      <c r="BT130" t="str">
        <f>HYPERLINK("https%3A%2F%2Fwww.webofscience.com%2Fwos%2Fwoscc%2Ffull-record%2FWOS:000365170400008","View Full Record in Web of Science")</f>
        <v>View Full Record in Web of Science</v>
      </c>
    </row>
    <row r="131" spans="1:72" x14ac:dyDescent="0.15">
      <c r="A131" t="s">
        <v>72</v>
      </c>
      <c r="B131" t="s">
        <v>7271</v>
      </c>
      <c r="C131" t="s">
        <v>74</v>
      </c>
      <c r="D131" t="s">
        <v>74</v>
      </c>
      <c r="E131" t="s">
        <v>74</v>
      </c>
      <c r="F131" t="s">
        <v>7272</v>
      </c>
      <c r="G131" t="s">
        <v>74</v>
      </c>
      <c r="H131" t="s">
        <v>74</v>
      </c>
      <c r="I131" t="s">
        <v>7273</v>
      </c>
      <c r="J131" t="s">
        <v>474</v>
      </c>
      <c r="K131" t="s">
        <v>74</v>
      </c>
      <c r="L131" t="s">
        <v>74</v>
      </c>
      <c r="M131" t="s">
        <v>74</v>
      </c>
      <c r="N131" t="s">
        <v>78</v>
      </c>
      <c r="O131" t="s">
        <v>74</v>
      </c>
      <c r="P131" t="s">
        <v>74</v>
      </c>
      <c r="Q131" t="s">
        <v>74</v>
      </c>
      <c r="R131" t="s">
        <v>74</v>
      </c>
      <c r="S131" t="s">
        <v>74</v>
      </c>
      <c r="T131" t="s">
        <v>7274</v>
      </c>
      <c r="U131" t="s">
        <v>7275</v>
      </c>
      <c r="V131" t="s">
        <v>7276</v>
      </c>
      <c r="W131" t="s">
        <v>7277</v>
      </c>
      <c r="X131" t="s">
        <v>7278</v>
      </c>
      <c r="Y131" t="s">
        <v>7279</v>
      </c>
      <c r="Z131" t="s">
        <v>7280</v>
      </c>
      <c r="AA131" t="s">
        <v>7281</v>
      </c>
      <c r="AB131" t="s">
        <v>74</v>
      </c>
      <c r="AC131" t="s">
        <v>74</v>
      </c>
      <c r="AD131" t="s">
        <v>74</v>
      </c>
      <c r="AE131" t="s">
        <v>74</v>
      </c>
      <c r="AF131" t="s">
        <v>74</v>
      </c>
      <c r="AG131">
        <v>39</v>
      </c>
      <c r="AH131">
        <v>51</v>
      </c>
      <c r="AI131">
        <v>54</v>
      </c>
      <c r="AJ131">
        <v>0</v>
      </c>
      <c r="AK131">
        <v>6</v>
      </c>
      <c r="AL131" t="s">
        <v>74</v>
      </c>
      <c r="AM131" t="s">
        <v>74</v>
      </c>
      <c r="AN131" t="s">
        <v>74</v>
      </c>
      <c r="AO131" t="s">
        <v>74</v>
      </c>
      <c r="AP131" t="s">
        <v>484</v>
      </c>
      <c r="AQ131" t="s">
        <v>74</v>
      </c>
      <c r="AR131" t="s">
        <v>74</v>
      </c>
      <c r="AS131" t="s">
        <v>74</v>
      </c>
      <c r="AT131" t="s">
        <v>2274</v>
      </c>
      <c r="AU131">
        <v>2017</v>
      </c>
      <c r="AV131">
        <v>8</v>
      </c>
      <c r="AW131">
        <v>26</v>
      </c>
      <c r="AX131" t="s">
        <v>74</v>
      </c>
      <c r="AY131" t="s">
        <v>74</v>
      </c>
      <c r="AZ131" t="s">
        <v>74</v>
      </c>
      <c r="BA131" t="s">
        <v>74</v>
      </c>
      <c r="BB131">
        <v>43180</v>
      </c>
      <c r="BC131">
        <v>43191</v>
      </c>
      <c r="BD131" t="s">
        <v>74</v>
      </c>
      <c r="BE131" t="s">
        <v>7282</v>
      </c>
      <c r="BF131" t="str">
        <f>HYPERLINK("http://dx.doi.org/10.18632/oncotarget.17858","http://dx.doi.org/10.18632/oncotarget.17858")</f>
        <v>http://dx.doi.org/10.18632/oncotarget.17858</v>
      </c>
      <c r="BG131" t="s">
        <v>74</v>
      </c>
      <c r="BH131" t="s">
        <v>74</v>
      </c>
      <c r="BI131" t="s">
        <v>74</v>
      </c>
      <c r="BJ131" t="s">
        <v>487</v>
      </c>
      <c r="BK131" t="s">
        <v>112</v>
      </c>
      <c r="BL131" t="s">
        <v>487</v>
      </c>
      <c r="BM131" t="s">
        <v>74</v>
      </c>
      <c r="BN131">
        <v>28574818</v>
      </c>
      <c r="BO131" t="s">
        <v>74</v>
      </c>
      <c r="BP131" t="s">
        <v>74</v>
      </c>
      <c r="BQ131" t="s">
        <v>74</v>
      </c>
      <c r="BR131" t="s">
        <v>93</v>
      </c>
      <c r="BS131" t="s">
        <v>7283</v>
      </c>
      <c r="BT131" t="str">
        <f>HYPERLINK("https%3A%2F%2Fwww.webofscience.com%2Fwos%2Fwoscc%2Ffull-record%2FWOS:000405493400116","View Full Record in Web of Science")</f>
        <v>View Full Record in Web of Science</v>
      </c>
    </row>
    <row r="132" spans="1:72" x14ac:dyDescent="0.15">
      <c r="A132" t="s">
        <v>72</v>
      </c>
      <c r="B132" t="s">
        <v>7874</v>
      </c>
      <c r="C132" t="s">
        <v>74</v>
      </c>
      <c r="D132" t="s">
        <v>74</v>
      </c>
      <c r="E132" t="s">
        <v>74</v>
      </c>
      <c r="F132" t="s">
        <v>7875</v>
      </c>
      <c r="G132" t="s">
        <v>74</v>
      </c>
      <c r="H132" t="s">
        <v>74</v>
      </c>
      <c r="I132" t="s">
        <v>7876</v>
      </c>
      <c r="J132" t="s">
        <v>7877</v>
      </c>
      <c r="K132" t="s">
        <v>74</v>
      </c>
      <c r="L132" t="s">
        <v>74</v>
      </c>
      <c r="M132" t="s">
        <v>74</v>
      </c>
      <c r="N132" t="s">
        <v>78</v>
      </c>
      <c r="O132" t="s">
        <v>74</v>
      </c>
      <c r="P132" t="s">
        <v>74</v>
      </c>
      <c r="Q132" t="s">
        <v>74</v>
      </c>
      <c r="R132" t="s">
        <v>74</v>
      </c>
      <c r="S132" t="s">
        <v>74</v>
      </c>
      <c r="T132" t="s">
        <v>74</v>
      </c>
      <c r="U132" t="s">
        <v>7878</v>
      </c>
      <c r="V132" t="s">
        <v>7879</v>
      </c>
      <c r="W132" t="s">
        <v>7880</v>
      </c>
      <c r="X132" t="s">
        <v>7881</v>
      </c>
      <c r="Y132" t="s">
        <v>7882</v>
      </c>
      <c r="Z132" t="s">
        <v>7883</v>
      </c>
      <c r="AA132" t="s">
        <v>7884</v>
      </c>
      <c r="AB132" t="s">
        <v>7885</v>
      </c>
      <c r="AC132" t="s">
        <v>74</v>
      </c>
      <c r="AD132" t="s">
        <v>74</v>
      </c>
      <c r="AE132" t="s">
        <v>74</v>
      </c>
      <c r="AF132" t="s">
        <v>74</v>
      </c>
      <c r="AG132">
        <v>37</v>
      </c>
      <c r="AH132">
        <v>51</v>
      </c>
      <c r="AI132">
        <v>51</v>
      </c>
      <c r="AJ132">
        <v>15</v>
      </c>
      <c r="AK132">
        <v>68</v>
      </c>
      <c r="AL132" t="s">
        <v>74</v>
      </c>
      <c r="AM132" t="s">
        <v>74</v>
      </c>
      <c r="AN132" t="s">
        <v>74</v>
      </c>
      <c r="AO132" t="s">
        <v>7886</v>
      </c>
      <c r="AP132" t="s">
        <v>7887</v>
      </c>
      <c r="AQ132" t="s">
        <v>74</v>
      </c>
      <c r="AR132" t="s">
        <v>74</v>
      </c>
      <c r="AS132" t="s">
        <v>74</v>
      </c>
      <c r="AT132" t="s">
        <v>108</v>
      </c>
      <c r="AU132">
        <v>2020</v>
      </c>
      <c r="AV132">
        <v>22</v>
      </c>
      <c r="AW132">
        <v>1</v>
      </c>
      <c r="AX132" t="s">
        <v>74</v>
      </c>
      <c r="AY132" t="s">
        <v>74</v>
      </c>
      <c r="AZ132" t="s">
        <v>74</v>
      </c>
      <c r="BA132" t="s">
        <v>74</v>
      </c>
      <c r="BB132">
        <v>50</v>
      </c>
      <c r="BC132">
        <v>59</v>
      </c>
      <c r="BD132" t="s">
        <v>74</v>
      </c>
      <c r="BE132" t="s">
        <v>7888</v>
      </c>
      <c r="BF132" t="str">
        <f>HYPERLINK("http://dx.doi.org/10.1016/j.jmoldx.2019.08.004","http://dx.doi.org/10.1016/j.jmoldx.2019.08.004")</f>
        <v>http://dx.doi.org/10.1016/j.jmoldx.2019.08.004</v>
      </c>
      <c r="BG132" t="s">
        <v>74</v>
      </c>
      <c r="BH132" t="s">
        <v>74</v>
      </c>
      <c r="BI132" t="s">
        <v>74</v>
      </c>
      <c r="BJ132" t="s">
        <v>7889</v>
      </c>
      <c r="BK132" t="s">
        <v>112</v>
      </c>
      <c r="BL132" t="s">
        <v>7889</v>
      </c>
      <c r="BM132" t="s">
        <v>74</v>
      </c>
      <c r="BN132">
        <v>31843276</v>
      </c>
      <c r="BO132" t="s">
        <v>74</v>
      </c>
      <c r="BP132" t="s">
        <v>74</v>
      </c>
      <c r="BQ132" t="s">
        <v>74</v>
      </c>
      <c r="BR132" t="s">
        <v>93</v>
      </c>
      <c r="BS132" t="s">
        <v>7890</v>
      </c>
      <c r="BT132" t="str">
        <f>HYPERLINK("https%3A%2F%2Fwww.webofscience.com%2Fwos%2Fwoscc%2Ffull-record%2FWOS:000509818700006","View Full Record in Web of Science")</f>
        <v>View Full Record in Web of Science</v>
      </c>
    </row>
    <row r="133" spans="1:72" x14ac:dyDescent="0.15">
      <c r="A133" t="s">
        <v>72</v>
      </c>
      <c r="B133" t="s">
        <v>8743</v>
      </c>
      <c r="C133" t="s">
        <v>74</v>
      </c>
      <c r="D133" t="s">
        <v>74</v>
      </c>
      <c r="E133" t="s">
        <v>74</v>
      </c>
      <c r="F133" t="s">
        <v>8744</v>
      </c>
      <c r="G133" t="s">
        <v>74</v>
      </c>
      <c r="H133" t="s">
        <v>74</v>
      </c>
      <c r="I133" t="s">
        <v>8745</v>
      </c>
      <c r="J133" t="s">
        <v>5356</v>
      </c>
      <c r="K133" t="s">
        <v>74</v>
      </c>
      <c r="L133" t="s">
        <v>74</v>
      </c>
      <c r="M133" t="s">
        <v>74</v>
      </c>
      <c r="N133" t="s">
        <v>78</v>
      </c>
      <c r="O133" t="s">
        <v>74</v>
      </c>
      <c r="P133" t="s">
        <v>74</v>
      </c>
      <c r="Q133" t="s">
        <v>74</v>
      </c>
      <c r="R133" t="s">
        <v>74</v>
      </c>
      <c r="S133" t="s">
        <v>74</v>
      </c>
      <c r="T133" t="s">
        <v>74</v>
      </c>
      <c r="U133" t="s">
        <v>8746</v>
      </c>
      <c r="V133" t="s">
        <v>8747</v>
      </c>
      <c r="W133" t="s">
        <v>8748</v>
      </c>
      <c r="X133" t="s">
        <v>8749</v>
      </c>
      <c r="Y133" t="s">
        <v>8750</v>
      </c>
      <c r="Z133" t="s">
        <v>8751</v>
      </c>
      <c r="AA133" t="s">
        <v>74</v>
      </c>
      <c r="AB133" t="s">
        <v>74</v>
      </c>
      <c r="AC133" t="s">
        <v>74</v>
      </c>
      <c r="AD133" t="s">
        <v>74</v>
      </c>
      <c r="AE133" t="s">
        <v>74</v>
      </c>
      <c r="AF133" t="s">
        <v>74</v>
      </c>
      <c r="AG133">
        <v>39</v>
      </c>
      <c r="AH133">
        <v>51</v>
      </c>
      <c r="AI133">
        <v>52</v>
      </c>
      <c r="AJ133">
        <v>1</v>
      </c>
      <c r="AK133">
        <v>6</v>
      </c>
      <c r="AL133" t="s">
        <v>74</v>
      </c>
      <c r="AM133" t="s">
        <v>74</v>
      </c>
      <c r="AN133" t="s">
        <v>74</v>
      </c>
      <c r="AO133" t="s">
        <v>5365</v>
      </c>
      <c r="AP133" t="s">
        <v>74</v>
      </c>
      <c r="AQ133" t="s">
        <v>74</v>
      </c>
      <c r="AR133" t="s">
        <v>74</v>
      </c>
      <c r="AS133" t="s">
        <v>74</v>
      </c>
      <c r="AT133" t="s">
        <v>8752</v>
      </c>
      <c r="AU133">
        <v>2018</v>
      </c>
      <c r="AV133">
        <v>9</v>
      </c>
      <c r="AW133" t="s">
        <v>74</v>
      </c>
      <c r="AX133" t="s">
        <v>74</v>
      </c>
      <c r="AY133" t="s">
        <v>74</v>
      </c>
      <c r="AZ133" t="s">
        <v>74</v>
      </c>
      <c r="BA133" t="s">
        <v>74</v>
      </c>
      <c r="BB133" t="s">
        <v>74</v>
      </c>
      <c r="BC133" t="s">
        <v>74</v>
      </c>
      <c r="BD133">
        <v>1037</v>
      </c>
      <c r="BE133" t="s">
        <v>8753</v>
      </c>
      <c r="BF133" t="str">
        <f>HYPERLINK("http://dx.doi.org/10.1038/s41419-018-1105-9","http://dx.doi.org/10.1038/s41419-018-1105-9")</f>
        <v>http://dx.doi.org/10.1038/s41419-018-1105-9</v>
      </c>
      <c r="BG133" t="s">
        <v>74</v>
      </c>
      <c r="BH133" t="s">
        <v>74</v>
      </c>
      <c r="BI133" t="s">
        <v>74</v>
      </c>
      <c r="BJ133" t="s">
        <v>419</v>
      </c>
      <c r="BK133" t="s">
        <v>112</v>
      </c>
      <c r="BL133" t="s">
        <v>419</v>
      </c>
      <c r="BM133" t="s">
        <v>74</v>
      </c>
      <c r="BN133">
        <v>30305607</v>
      </c>
      <c r="BO133" t="s">
        <v>74</v>
      </c>
      <c r="BP133" t="s">
        <v>74</v>
      </c>
      <c r="BQ133" t="s">
        <v>74</v>
      </c>
      <c r="BR133" t="s">
        <v>93</v>
      </c>
      <c r="BS133" t="s">
        <v>8754</v>
      </c>
      <c r="BT133" t="str">
        <f>HYPERLINK("https%3A%2F%2Fwww.webofscience.com%2Fwos%2Fwoscc%2Ffull-record%2FWOS:000447236100005","View Full Record in Web of Science")</f>
        <v>View Full Record in Web of Science</v>
      </c>
    </row>
    <row r="134" spans="1:72" x14ac:dyDescent="0.15">
      <c r="A134" t="s">
        <v>72</v>
      </c>
      <c r="B134" t="s">
        <v>8860</v>
      </c>
      <c r="C134" t="s">
        <v>74</v>
      </c>
      <c r="D134" t="s">
        <v>74</v>
      </c>
      <c r="E134" t="s">
        <v>74</v>
      </c>
      <c r="F134" t="s">
        <v>8860</v>
      </c>
      <c r="G134" t="s">
        <v>74</v>
      </c>
      <c r="H134" t="s">
        <v>74</v>
      </c>
      <c r="I134" t="s">
        <v>8861</v>
      </c>
      <c r="J134" t="s">
        <v>8862</v>
      </c>
      <c r="K134" t="s">
        <v>74</v>
      </c>
      <c r="L134" t="s">
        <v>74</v>
      </c>
      <c r="M134" t="s">
        <v>74</v>
      </c>
      <c r="N134" t="s">
        <v>78</v>
      </c>
      <c r="O134" t="s">
        <v>74</v>
      </c>
      <c r="P134" t="s">
        <v>74</v>
      </c>
      <c r="Q134" t="s">
        <v>74</v>
      </c>
      <c r="R134" t="s">
        <v>74</v>
      </c>
      <c r="S134" t="s">
        <v>74</v>
      </c>
      <c r="T134" t="s">
        <v>74</v>
      </c>
      <c r="U134" t="s">
        <v>8863</v>
      </c>
      <c r="V134" t="s">
        <v>8864</v>
      </c>
      <c r="W134" t="s">
        <v>8865</v>
      </c>
      <c r="X134" t="s">
        <v>8866</v>
      </c>
      <c r="Y134" t="s">
        <v>74</v>
      </c>
      <c r="Z134" t="s">
        <v>74</v>
      </c>
      <c r="AA134" t="s">
        <v>8867</v>
      </c>
      <c r="AB134" t="s">
        <v>8868</v>
      </c>
      <c r="AC134" t="s">
        <v>74</v>
      </c>
      <c r="AD134" t="s">
        <v>74</v>
      </c>
      <c r="AE134" t="s">
        <v>74</v>
      </c>
      <c r="AF134" t="s">
        <v>74</v>
      </c>
      <c r="AG134">
        <v>47</v>
      </c>
      <c r="AH134">
        <v>51</v>
      </c>
      <c r="AI134">
        <v>52</v>
      </c>
      <c r="AJ134">
        <v>0</v>
      </c>
      <c r="AK134">
        <v>5</v>
      </c>
      <c r="AL134" t="s">
        <v>74</v>
      </c>
      <c r="AM134" t="s">
        <v>74</v>
      </c>
      <c r="AN134" t="s">
        <v>74</v>
      </c>
      <c r="AO134" t="s">
        <v>8869</v>
      </c>
      <c r="AP134" t="s">
        <v>74</v>
      </c>
      <c r="AQ134" t="s">
        <v>74</v>
      </c>
      <c r="AR134" t="s">
        <v>74</v>
      </c>
      <c r="AS134" t="s">
        <v>74</v>
      </c>
      <c r="AT134" t="s">
        <v>8870</v>
      </c>
      <c r="AU134">
        <v>1994</v>
      </c>
      <c r="AV134">
        <v>33</v>
      </c>
      <c r="AW134">
        <v>40</v>
      </c>
      <c r="AX134" t="s">
        <v>74</v>
      </c>
      <c r="AY134" t="s">
        <v>74</v>
      </c>
      <c r="AZ134" t="s">
        <v>74</v>
      </c>
      <c r="BA134" t="s">
        <v>74</v>
      </c>
      <c r="BB134">
        <v>12329</v>
      </c>
      <c r="BC134">
        <v>12339</v>
      </c>
      <c r="BD134" t="s">
        <v>74</v>
      </c>
      <c r="BE134" t="s">
        <v>8871</v>
      </c>
      <c r="BF134" t="str">
        <f>HYPERLINK("http://dx.doi.org/10.1021/bi00206a041","http://dx.doi.org/10.1021/bi00206a041")</f>
        <v>http://dx.doi.org/10.1021/bi00206a041</v>
      </c>
      <c r="BG134" t="s">
        <v>74</v>
      </c>
      <c r="BH134" t="s">
        <v>74</v>
      </c>
      <c r="BI134" t="s">
        <v>74</v>
      </c>
      <c r="BJ134" t="s">
        <v>92</v>
      </c>
      <c r="BK134" t="s">
        <v>112</v>
      </c>
      <c r="BL134" t="s">
        <v>92</v>
      </c>
      <c r="BM134" t="s">
        <v>74</v>
      </c>
      <c r="BN134">
        <v>7918455</v>
      </c>
      <c r="BO134" t="s">
        <v>74</v>
      </c>
      <c r="BP134" t="s">
        <v>74</v>
      </c>
      <c r="BQ134" t="s">
        <v>74</v>
      </c>
      <c r="BR134" t="s">
        <v>93</v>
      </c>
      <c r="BS134" t="s">
        <v>8872</v>
      </c>
      <c r="BT134" t="str">
        <f>HYPERLINK("https%3A%2F%2Fwww.webofscience.com%2Fwos%2Fwoscc%2Ffull-record%2FWOS:A1994PL35800041","View Full Record in Web of Science")</f>
        <v>View Full Record in Web of Science</v>
      </c>
    </row>
    <row r="135" spans="1:72" x14ac:dyDescent="0.15">
      <c r="A135" t="s">
        <v>72</v>
      </c>
      <c r="B135" t="s">
        <v>9679</v>
      </c>
      <c r="C135" t="s">
        <v>74</v>
      </c>
      <c r="D135" t="s">
        <v>74</v>
      </c>
      <c r="E135" t="s">
        <v>74</v>
      </c>
      <c r="F135" t="s">
        <v>9679</v>
      </c>
      <c r="G135" t="s">
        <v>74</v>
      </c>
      <c r="H135" t="s">
        <v>74</v>
      </c>
      <c r="I135" t="s">
        <v>9680</v>
      </c>
      <c r="J135" t="s">
        <v>9681</v>
      </c>
      <c r="K135" t="s">
        <v>74</v>
      </c>
      <c r="L135" t="s">
        <v>74</v>
      </c>
      <c r="M135" t="s">
        <v>74</v>
      </c>
      <c r="N135" t="s">
        <v>78</v>
      </c>
      <c r="O135" t="s">
        <v>74</v>
      </c>
      <c r="P135" t="s">
        <v>74</v>
      </c>
      <c r="Q135" t="s">
        <v>74</v>
      </c>
      <c r="R135" t="s">
        <v>74</v>
      </c>
      <c r="S135" t="s">
        <v>74</v>
      </c>
      <c r="T135" t="s">
        <v>9682</v>
      </c>
      <c r="U135" t="s">
        <v>9683</v>
      </c>
      <c r="V135" t="s">
        <v>9684</v>
      </c>
      <c r="W135" t="s">
        <v>9685</v>
      </c>
      <c r="X135" t="s">
        <v>9686</v>
      </c>
      <c r="Y135" t="s">
        <v>9687</v>
      </c>
      <c r="Z135" t="s">
        <v>74</v>
      </c>
      <c r="AA135" t="s">
        <v>74</v>
      </c>
      <c r="AB135" t="s">
        <v>74</v>
      </c>
      <c r="AC135" t="s">
        <v>74</v>
      </c>
      <c r="AD135" t="s">
        <v>74</v>
      </c>
      <c r="AE135" t="s">
        <v>74</v>
      </c>
      <c r="AF135" t="s">
        <v>74</v>
      </c>
      <c r="AG135">
        <v>62</v>
      </c>
      <c r="AH135">
        <v>51</v>
      </c>
      <c r="AI135">
        <v>52</v>
      </c>
      <c r="AJ135">
        <v>3</v>
      </c>
      <c r="AK135">
        <v>14</v>
      </c>
      <c r="AL135" t="s">
        <v>74</v>
      </c>
      <c r="AM135" t="s">
        <v>74</v>
      </c>
      <c r="AN135" t="s">
        <v>74</v>
      </c>
      <c r="AO135" t="s">
        <v>9688</v>
      </c>
      <c r="AP135" t="s">
        <v>9689</v>
      </c>
      <c r="AQ135" t="s">
        <v>74</v>
      </c>
      <c r="AR135" t="s">
        <v>74</v>
      </c>
      <c r="AS135" t="s">
        <v>74</v>
      </c>
      <c r="AT135" t="s">
        <v>171</v>
      </c>
      <c r="AU135">
        <v>2002</v>
      </c>
      <c r="AV135">
        <v>33</v>
      </c>
      <c r="AW135">
        <v>12</v>
      </c>
      <c r="AX135" t="s">
        <v>74</v>
      </c>
      <c r="AY135" t="s">
        <v>74</v>
      </c>
      <c r="AZ135" t="s">
        <v>74</v>
      </c>
      <c r="BA135" t="s">
        <v>74</v>
      </c>
      <c r="BB135">
        <v>764</v>
      </c>
      <c r="BC135">
        <v>769</v>
      </c>
      <c r="BD135" t="s">
        <v>74</v>
      </c>
      <c r="BE135" t="s">
        <v>9690</v>
      </c>
      <c r="BF135" t="str">
        <f>HYPERLINK("http://dx.doi.org/10.1002/mawe.200290008","http://dx.doi.org/10.1002/mawe.200290008")</f>
        <v>http://dx.doi.org/10.1002/mawe.200290008</v>
      </c>
      <c r="BG135" t="s">
        <v>74</v>
      </c>
      <c r="BH135" t="s">
        <v>74</v>
      </c>
      <c r="BI135" t="s">
        <v>74</v>
      </c>
      <c r="BJ135" t="s">
        <v>9691</v>
      </c>
      <c r="BK135" t="s">
        <v>112</v>
      </c>
      <c r="BL135" t="s">
        <v>8639</v>
      </c>
      <c r="BM135" t="s">
        <v>74</v>
      </c>
      <c r="BN135" t="s">
        <v>74</v>
      </c>
      <c r="BO135" t="s">
        <v>74</v>
      </c>
      <c r="BP135" t="s">
        <v>74</v>
      </c>
      <c r="BQ135" t="s">
        <v>74</v>
      </c>
      <c r="BR135" t="s">
        <v>93</v>
      </c>
      <c r="BS135" t="s">
        <v>9692</v>
      </c>
      <c r="BT135" t="str">
        <f>HYPERLINK("https%3A%2F%2Fwww.webofscience.com%2Fwos%2Fwoscc%2Ffull-record%2FWOS:000180596700009","View Full Record in Web of Science")</f>
        <v>View Full Record in Web of Science</v>
      </c>
    </row>
    <row r="136" spans="1:72" x14ac:dyDescent="0.15">
      <c r="A136" t="s">
        <v>72</v>
      </c>
      <c r="B136" t="s">
        <v>7714</v>
      </c>
      <c r="C136" t="s">
        <v>74</v>
      </c>
      <c r="D136" t="s">
        <v>74</v>
      </c>
      <c r="E136" t="s">
        <v>74</v>
      </c>
      <c r="F136" t="s">
        <v>7715</v>
      </c>
      <c r="G136" t="s">
        <v>74</v>
      </c>
      <c r="H136" t="s">
        <v>74</v>
      </c>
      <c r="I136" t="s">
        <v>7716</v>
      </c>
      <c r="J136" t="s">
        <v>1828</v>
      </c>
      <c r="K136" t="s">
        <v>74</v>
      </c>
      <c r="L136" t="s">
        <v>74</v>
      </c>
      <c r="M136" t="s">
        <v>74</v>
      </c>
      <c r="N136" t="s">
        <v>78</v>
      </c>
      <c r="O136" t="s">
        <v>74</v>
      </c>
      <c r="P136" t="s">
        <v>74</v>
      </c>
      <c r="Q136" t="s">
        <v>74</v>
      </c>
      <c r="R136" t="s">
        <v>74</v>
      </c>
      <c r="S136" t="s">
        <v>74</v>
      </c>
      <c r="T136" t="s">
        <v>74</v>
      </c>
      <c r="U136" t="s">
        <v>7717</v>
      </c>
      <c r="V136" t="s">
        <v>7718</v>
      </c>
      <c r="W136" t="s">
        <v>7719</v>
      </c>
      <c r="X136" t="s">
        <v>7720</v>
      </c>
      <c r="Y136" t="s">
        <v>7721</v>
      </c>
      <c r="Z136" t="s">
        <v>7722</v>
      </c>
      <c r="AA136" t="s">
        <v>7723</v>
      </c>
      <c r="AB136" t="s">
        <v>7724</v>
      </c>
      <c r="AC136" t="s">
        <v>74</v>
      </c>
      <c r="AD136" t="s">
        <v>74</v>
      </c>
      <c r="AE136" t="s">
        <v>74</v>
      </c>
      <c r="AF136" t="s">
        <v>74</v>
      </c>
      <c r="AG136">
        <v>97</v>
      </c>
      <c r="AH136">
        <v>50</v>
      </c>
      <c r="AI136">
        <v>54</v>
      </c>
      <c r="AJ136">
        <v>0</v>
      </c>
      <c r="AK136">
        <v>6</v>
      </c>
      <c r="AL136" t="s">
        <v>74</v>
      </c>
      <c r="AM136" t="s">
        <v>74</v>
      </c>
      <c r="AN136" t="s">
        <v>74</v>
      </c>
      <c r="AO136" t="s">
        <v>1837</v>
      </c>
      <c r="AP136" t="s">
        <v>74</v>
      </c>
      <c r="AQ136" t="s">
        <v>74</v>
      </c>
      <c r="AR136" t="s">
        <v>74</v>
      </c>
      <c r="AS136" t="s">
        <v>74</v>
      </c>
      <c r="AT136" t="s">
        <v>7725</v>
      </c>
      <c r="AU136">
        <v>2018</v>
      </c>
      <c r="AV136">
        <v>8</v>
      </c>
      <c r="AW136" t="s">
        <v>74</v>
      </c>
      <c r="AX136" t="s">
        <v>74</v>
      </c>
      <c r="AY136" t="s">
        <v>74</v>
      </c>
      <c r="AZ136" t="s">
        <v>74</v>
      </c>
      <c r="BA136" t="s">
        <v>74</v>
      </c>
      <c r="BB136" t="s">
        <v>74</v>
      </c>
      <c r="BC136" t="s">
        <v>74</v>
      </c>
      <c r="BD136">
        <v>387</v>
      </c>
      <c r="BE136" t="s">
        <v>7726</v>
      </c>
      <c r="BF136" t="str">
        <f>HYPERLINK("http://dx.doi.org/10.1038/s41598-017-18672-5","http://dx.doi.org/10.1038/s41598-017-18672-5")</f>
        <v>http://dx.doi.org/10.1038/s41598-017-18672-5</v>
      </c>
      <c r="BG136" t="s">
        <v>74</v>
      </c>
      <c r="BH136" t="s">
        <v>74</v>
      </c>
      <c r="BI136" t="s">
        <v>74</v>
      </c>
      <c r="BJ136" t="s">
        <v>545</v>
      </c>
      <c r="BK136" t="s">
        <v>112</v>
      </c>
      <c r="BL136" t="s">
        <v>546</v>
      </c>
      <c r="BM136" t="s">
        <v>74</v>
      </c>
      <c r="BN136">
        <v>29321591</v>
      </c>
      <c r="BO136" t="s">
        <v>74</v>
      </c>
      <c r="BP136" t="s">
        <v>74</v>
      </c>
      <c r="BQ136" t="s">
        <v>74</v>
      </c>
      <c r="BR136" t="s">
        <v>93</v>
      </c>
      <c r="BS136" t="s">
        <v>7727</v>
      </c>
      <c r="BT136" t="str">
        <f>HYPERLINK("https%3A%2F%2Fwww.webofscience.com%2Fwos%2Fwoscc%2Ffull-record%2FWOS:000419673100023","View Full Record in Web of Science")</f>
        <v>View Full Record in Web of Science</v>
      </c>
    </row>
    <row r="137" spans="1:72" x14ac:dyDescent="0.15">
      <c r="A137" t="s">
        <v>72</v>
      </c>
      <c r="B137" t="s">
        <v>10992</v>
      </c>
      <c r="C137" t="s">
        <v>74</v>
      </c>
      <c r="D137" t="s">
        <v>74</v>
      </c>
      <c r="E137" t="s">
        <v>74</v>
      </c>
      <c r="F137" t="s">
        <v>10993</v>
      </c>
      <c r="G137" t="s">
        <v>74</v>
      </c>
      <c r="H137" t="s">
        <v>74</v>
      </c>
      <c r="I137" t="s">
        <v>10994</v>
      </c>
      <c r="J137" t="s">
        <v>10995</v>
      </c>
      <c r="K137" t="s">
        <v>74</v>
      </c>
      <c r="L137" t="s">
        <v>74</v>
      </c>
      <c r="M137" t="s">
        <v>74</v>
      </c>
      <c r="N137" t="s">
        <v>78</v>
      </c>
      <c r="O137" t="s">
        <v>74</v>
      </c>
      <c r="P137" t="s">
        <v>74</v>
      </c>
      <c r="Q137" t="s">
        <v>74</v>
      </c>
      <c r="R137" t="s">
        <v>74</v>
      </c>
      <c r="S137" t="s">
        <v>74</v>
      </c>
      <c r="T137" t="s">
        <v>10996</v>
      </c>
      <c r="U137" t="s">
        <v>10997</v>
      </c>
      <c r="V137" t="s">
        <v>10998</v>
      </c>
      <c r="W137" t="s">
        <v>10999</v>
      </c>
      <c r="X137" t="s">
        <v>11000</v>
      </c>
      <c r="Y137" t="s">
        <v>11001</v>
      </c>
      <c r="Z137" t="s">
        <v>11002</v>
      </c>
      <c r="AA137" t="s">
        <v>74</v>
      </c>
      <c r="AB137" t="s">
        <v>74</v>
      </c>
      <c r="AC137" t="s">
        <v>74</v>
      </c>
      <c r="AD137" t="s">
        <v>74</v>
      </c>
      <c r="AE137" t="s">
        <v>74</v>
      </c>
      <c r="AF137" t="s">
        <v>74</v>
      </c>
      <c r="AG137">
        <v>40</v>
      </c>
      <c r="AH137">
        <v>50</v>
      </c>
      <c r="AI137">
        <v>58</v>
      </c>
      <c r="AJ137">
        <v>1</v>
      </c>
      <c r="AK137">
        <v>20</v>
      </c>
      <c r="AL137" t="s">
        <v>74</v>
      </c>
      <c r="AM137" t="s">
        <v>74</v>
      </c>
      <c r="AN137" t="s">
        <v>74</v>
      </c>
      <c r="AO137" t="s">
        <v>11003</v>
      </c>
      <c r="AP137" t="s">
        <v>11004</v>
      </c>
      <c r="AQ137" t="s">
        <v>74</v>
      </c>
      <c r="AR137" t="s">
        <v>74</v>
      </c>
      <c r="AS137" t="s">
        <v>74</v>
      </c>
      <c r="AT137" t="s">
        <v>74</v>
      </c>
      <c r="AU137">
        <v>2018</v>
      </c>
      <c r="AV137">
        <v>46</v>
      </c>
      <c r="AW137">
        <v>1</v>
      </c>
      <c r="AX137" t="s">
        <v>74</v>
      </c>
      <c r="AY137" t="s">
        <v>74</v>
      </c>
      <c r="AZ137" t="s">
        <v>74</v>
      </c>
      <c r="BA137" t="s">
        <v>74</v>
      </c>
      <c r="BB137">
        <v>335</v>
      </c>
      <c r="BC137">
        <v>350</v>
      </c>
      <c r="BD137" t="s">
        <v>74</v>
      </c>
      <c r="BE137" t="s">
        <v>11005</v>
      </c>
      <c r="BF137" t="str">
        <f>HYPERLINK("http://dx.doi.org/10.1159/000488434","http://dx.doi.org/10.1159/000488434")</f>
        <v>http://dx.doi.org/10.1159/000488434</v>
      </c>
      <c r="BG137" t="s">
        <v>74</v>
      </c>
      <c r="BH137" t="s">
        <v>74</v>
      </c>
      <c r="BI137" t="s">
        <v>74</v>
      </c>
      <c r="BJ137" t="s">
        <v>4691</v>
      </c>
      <c r="BK137" t="s">
        <v>112</v>
      </c>
      <c r="BL137" t="s">
        <v>4691</v>
      </c>
      <c r="BM137" t="s">
        <v>74</v>
      </c>
      <c r="BN137">
        <v>29590649</v>
      </c>
      <c r="BO137" t="s">
        <v>74</v>
      </c>
      <c r="BP137" t="s">
        <v>74</v>
      </c>
      <c r="BQ137" t="s">
        <v>74</v>
      </c>
      <c r="BR137" t="s">
        <v>93</v>
      </c>
      <c r="BS137" t="s">
        <v>11006</v>
      </c>
      <c r="BT137" t="str">
        <f>HYPERLINK("https%3A%2F%2Fwww.webofscience.com%2Fwos%2Fwoscc%2Ffull-record%2FWOS:000431134000028","View Full Record in Web of Science")</f>
        <v>View Full Record in Web of Science</v>
      </c>
    </row>
    <row r="138" spans="1:72" x14ac:dyDescent="0.15">
      <c r="A138" t="s">
        <v>72</v>
      </c>
      <c r="B138" t="s">
        <v>2939</v>
      </c>
      <c r="C138" t="s">
        <v>74</v>
      </c>
      <c r="D138" t="s">
        <v>74</v>
      </c>
      <c r="E138" t="s">
        <v>74</v>
      </c>
      <c r="F138" t="s">
        <v>2940</v>
      </c>
      <c r="G138" t="s">
        <v>74</v>
      </c>
      <c r="H138" t="s">
        <v>74</v>
      </c>
      <c r="I138" t="s">
        <v>2941</v>
      </c>
      <c r="J138" t="s">
        <v>2942</v>
      </c>
      <c r="K138" t="s">
        <v>74</v>
      </c>
      <c r="L138" t="s">
        <v>74</v>
      </c>
      <c r="M138" t="s">
        <v>74</v>
      </c>
      <c r="N138" t="s">
        <v>78</v>
      </c>
      <c r="O138" t="s">
        <v>74</v>
      </c>
      <c r="P138" t="s">
        <v>74</v>
      </c>
      <c r="Q138" t="s">
        <v>74</v>
      </c>
      <c r="R138" t="s">
        <v>74</v>
      </c>
      <c r="S138" t="s">
        <v>74</v>
      </c>
      <c r="T138" t="s">
        <v>74</v>
      </c>
      <c r="U138" t="s">
        <v>2943</v>
      </c>
      <c r="V138" t="s">
        <v>2944</v>
      </c>
      <c r="W138" t="s">
        <v>2945</v>
      </c>
      <c r="X138" t="s">
        <v>2946</v>
      </c>
      <c r="Y138" t="s">
        <v>2947</v>
      </c>
      <c r="Z138" t="s">
        <v>2948</v>
      </c>
      <c r="AA138" t="s">
        <v>2949</v>
      </c>
      <c r="AB138" t="s">
        <v>2950</v>
      </c>
      <c r="AC138" t="s">
        <v>74</v>
      </c>
      <c r="AD138" t="s">
        <v>74</v>
      </c>
      <c r="AE138" t="s">
        <v>74</v>
      </c>
      <c r="AF138" t="s">
        <v>74</v>
      </c>
      <c r="AG138">
        <v>43</v>
      </c>
      <c r="AH138">
        <v>49</v>
      </c>
      <c r="AI138">
        <v>49</v>
      </c>
      <c r="AJ138">
        <v>5</v>
      </c>
      <c r="AK138">
        <v>31</v>
      </c>
      <c r="AL138" t="s">
        <v>74</v>
      </c>
      <c r="AM138" t="s">
        <v>74</v>
      </c>
      <c r="AN138" t="s">
        <v>74</v>
      </c>
      <c r="AO138" t="s">
        <v>74</v>
      </c>
      <c r="AP138" t="s">
        <v>2951</v>
      </c>
      <c r="AQ138" t="s">
        <v>74</v>
      </c>
      <c r="AR138" t="s">
        <v>74</v>
      </c>
      <c r="AS138" t="s">
        <v>74</v>
      </c>
      <c r="AT138" t="s">
        <v>2952</v>
      </c>
      <c r="AU138">
        <v>2019</v>
      </c>
      <c r="AV138">
        <v>2</v>
      </c>
      <c r="AW138" t="s">
        <v>74</v>
      </c>
      <c r="AX138" t="s">
        <v>74</v>
      </c>
      <c r="AY138" t="s">
        <v>74</v>
      </c>
      <c r="AZ138" t="s">
        <v>74</v>
      </c>
      <c r="BA138" t="s">
        <v>74</v>
      </c>
      <c r="BB138" t="s">
        <v>74</v>
      </c>
      <c r="BC138" t="s">
        <v>74</v>
      </c>
      <c r="BD138">
        <v>189</v>
      </c>
      <c r="BE138" t="s">
        <v>2953</v>
      </c>
      <c r="BF138" t="str">
        <f>HYPERLINK("http://dx.doi.org/10.1038/s42003-019-0435-1","http://dx.doi.org/10.1038/s42003-019-0435-1")</f>
        <v>http://dx.doi.org/10.1038/s42003-019-0435-1</v>
      </c>
      <c r="BG138" t="s">
        <v>74</v>
      </c>
      <c r="BH138" t="s">
        <v>74</v>
      </c>
      <c r="BI138" t="s">
        <v>74</v>
      </c>
      <c r="BJ138" t="s">
        <v>2954</v>
      </c>
      <c r="BK138" t="s">
        <v>112</v>
      </c>
      <c r="BL138" t="s">
        <v>2955</v>
      </c>
      <c r="BM138" t="s">
        <v>74</v>
      </c>
      <c r="BN138" t="s">
        <v>74</v>
      </c>
      <c r="BO138" t="s">
        <v>74</v>
      </c>
      <c r="BP138" t="s">
        <v>74</v>
      </c>
      <c r="BQ138" t="s">
        <v>74</v>
      </c>
      <c r="BR138" t="s">
        <v>93</v>
      </c>
      <c r="BS138" t="s">
        <v>2956</v>
      </c>
      <c r="BT138" t="str">
        <f>HYPERLINK("https%3A%2F%2Fwww.webofscience.com%2Fwos%2Fwoscc%2Ffull-record%2FWOS:000468870100001","View Full Record in Web of Science")</f>
        <v>View Full Record in Web of Science</v>
      </c>
    </row>
    <row r="139" spans="1:72" x14ac:dyDescent="0.15">
      <c r="A139" t="s">
        <v>72</v>
      </c>
      <c r="B139" t="s">
        <v>2957</v>
      </c>
      <c r="C139" t="s">
        <v>74</v>
      </c>
      <c r="D139" t="s">
        <v>74</v>
      </c>
      <c r="E139" t="s">
        <v>74</v>
      </c>
      <c r="F139" t="s">
        <v>2958</v>
      </c>
      <c r="G139" t="s">
        <v>74</v>
      </c>
      <c r="H139" t="s">
        <v>74</v>
      </c>
      <c r="I139" t="s">
        <v>2959</v>
      </c>
      <c r="J139" t="s">
        <v>2960</v>
      </c>
      <c r="K139" t="s">
        <v>74</v>
      </c>
      <c r="L139" t="s">
        <v>74</v>
      </c>
      <c r="M139" t="s">
        <v>74</v>
      </c>
      <c r="N139" t="s">
        <v>78</v>
      </c>
      <c r="O139" t="s">
        <v>74</v>
      </c>
      <c r="P139" t="s">
        <v>74</v>
      </c>
      <c r="Q139" t="s">
        <v>74</v>
      </c>
      <c r="R139" t="s">
        <v>74</v>
      </c>
      <c r="S139" t="s">
        <v>74</v>
      </c>
      <c r="T139" t="s">
        <v>2961</v>
      </c>
      <c r="U139" t="s">
        <v>2962</v>
      </c>
      <c r="V139" t="s">
        <v>2963</v>
      </c>
      <c r="W139" t="s">
        <v>2964</v>
      </c>
      <c r="X139" t="s">
        <v>2965</v>
      </c>
      <c r="Y139" t="s">
        <v>2966</v>
      </c>
      <c r="Z139" t="s">
        <v>2967</v>
      </c>
      <c r="AA139" t="s">
        <v>2968</v>
      </c>
      <c r="AB139" t="s">
        <v>2969</v>
      </c>
      <c r="AC139" t="s">
        <v>74</v>
      </c>
      <c r="AD139" t="s">
        <v>74</v>
      </c>
      <c r="AE139" t="s">
        <v>74</v>
      </c>
      <c r="AF139" t="s">
        <v>74</v>
      </c>
      <c r="AG139">
        <v>69</v>
      </c>
      <c r="AH139">
        <v>49</v>
      </c>
      <c r="AI139">
        <v>50</v>
      </c>
      <c r="AJ139">
        <v>7</v>
      </c>
      <c r="AK139">
        <v>115</v>
      </c>
      <c r="AL139" t="s">
        <v>74</v>
      </c>
      <c r="AM139" t="s">
        <v>74</v>
      </c>
      <c r="AN139" t="s">
        <v>74</v>
      </c>
      <c r="AO139" t="s">
        <v>2970</v>
      </c>
      <c r="AP139" t="s">
        <v>2971</v>
      </c>
      <c r="AQ139" t="s">
        <v>74</v>
      </c>
      <c r="AR139" t="s">
        <v>74</v>
      </c>
      <c r="AS139" t="s">
        <v>74</v>
      </c>
      <c r="AT139" t="s">
        <v>818</v>
      </c>
      <c r="AU139">
        <v>2018</v>
      </c>
      <c r="AV139">
        <v>39</v>
      </c>
      <c r="AW139">
        <v>15</v>
      </c>
      <c r="AX139" t="s">
        <v>74</v>
      </c>
      <c r="AY139" t="s">
        <v>74</v>
      </c>
      <c r="AZ139" t="s">
        <v>1075</v>
      </c>
      <c r="BA139" t="s">
        <v>74</v>
      </c>
      <c r="BB139">
        <v>2029</v>
      </c>
      <c r="BC139">
        <v>2038</v>
      </c>
      <c r="BD139" t="s">
        <v>74</v>
      </c>
      <c r="BE139" t="s">
        <v>2972</v>
      </c>
      <c r="BF139" t="str">
        <f>HYPERLINK("http://dx.doi.org/10.1002/elps.201700491","http://dx.doi.org/10.1002/elps.201700491")</f>
        <v>http://dx.doi.org/10.1002/elps.201700491</v>
      </c>
      <c r="BG139" t="s">
        <v>74</v>
      </c>
      <c r="BH139" t="s">
        <v>74</v>
      </c>
      <c r="BI139" t="s">
        <v>74</v>
      </c>
      <c r="BJ139" t="s">
        <v>2973</v>
      </c>
      <c r="BK139" t="s">
        <v>112</v>
      </c>
      <c r="BL139" t="s">
        <v>681</v>
      </c>
      <c r="BM139" t="s">
        <v>74</v>
      </c>
      <c r="BN139">
        <v>29484678</v>
      </c>
      <c r="BO139" t="s">
        <v>74</v>
      </c>
      <c r="BP139" t="s">
        <v>74</v>
      </c>
      <c r="BQ139" t="s">
        <v>74</v>
      </c>
      <c r="BR139" t="s">
        <v>93</v>
      </c>
      <c r="BS139" t="s">
        <v>2974</v>
      </c>
      <c r="BT139" t="str">
        <f>HYPERLINK("https%3A%2F%2Fwww.webofscience.com%2Fwos%2Fwoscc%2Ffull-record%2FWOS:000440549300022","View Full Record in Web of Science")</f>
        <v>View Full Record in Web of Science</v>
      </c>
    </row>
    <row r="140" spans="1:72" x14ac:dyDescent="0.15">
      <c r="A140" t="s">
        <v>72</v>
      </c>
      <c r="B140" t="s">
        <v>7056</v>
      </c>
      <c r="C140" t="s">
        <v>74</v>
      </c>
      <c r="D140" t="s">
        <v>74</v>
      </c>
      <c r="E140" t="s">
        <v>74</v>
      </c>
      <c r="F140" t="s">
        <v>7057</v>
      </c>
      <c r="G140" t="s">
        <v>74</v>
      </c>
      <c r="H140" t="s">
        <v>74</v>
      </c>
      <c r="I140" t="s">
        <v>7058</v>
      </c>
      <c r="J140" t="s">
        <v>2013</v>
      </c>
      <c r="K140" t="s">
        <v>74</v>
      </c>
      <c r="L140" t="s">
        <v>74</v>
      </c>
      <c r="M140" t="s">
        <v>74</v>
      </c>
      <c r="N140" t="s">
        <v>78</v>
      </c>
      <c r="O140" t="s">
        <v>74</v>
      </c>
      <c r="P140" t="s">
        <v>74</v>
      </c>
      <c r="Q140" t="s">
        <v>74</v>
      </c>
      <c r="R140" t="s">
        <v>74</v>
      </c>
      <c r="S140" t="s">
        <v>74</v>
      </c>
      <c r="T140" t="s">
        <v>74</v>
      </c>
      <c r="U140" t="s">
        <v>7059</v>
      </c>
      <c r="V140" t="s">
        <v>7060</v>
      </c>
      <c r="W140" t="s">
        <v>7061</v>
      </c>
      <c r="X140" t="s">
        <v>7062</v>
      </c>
      <c r="Y140" t="s">
        <v>7063</v>
      </c>
      <c r="Z140" t="s">
        <v>7064</v>
      </c>
      <c r="AA140" t="s">
        <v>7065</v>
      </c>
      <c r="AB140" t="s">
        <v>7066</v>
      </c>
      <c r="AC140" t="s">
        <v>74</v>
      </c>
      <c r="AD140" t="s">
        <v>74</v>
      </c>
      <c r="AE140" t="s">
        <v>74</v>
      </c>
      <c r="AF140" t="s">
        <v>74</v>
      </c>
      <c r="AG140">
        <v>55</v>
      </c>
      <c r="AH140">
        <v>49</v>
      </c>
      <c r="AI140">
        <v>49</v>
      </c>
      <c r="AJ140">
        <v>52</v>
      </c>
      <c r="AK140">
        <v>332</v>
      </c>
      <c r="AL140" t="s">
        <v>74</v>
      </c>
      <c r="AM140" t="s">
        <v>74</v>
      </c>
      <c r="AN140" t="s">
        <v>74</v>
      </c>
      <c r="AO140" t="s">
        <v>2022</v>
      </c>
      <c r="AP140" t="s">
        <v>2023</v>
      </c>
      <c r="AQ140" t="s">
        <v>74</v>
      </c>
      <c r="AR140" t="s">
        <v>74</v>
      </c>
      <c r="AS140" t="s">
        <v>74</v>
      </c>
      <c r="AT140" t="s">
        <v>7067</v>
      </c>
      <c r="AU140">
        <v>2020</v>
      </c>
      <c r="AV140">
        <v>92</v>
      </c>
      <c r="AW140">
        <v>3</v>
      </c>
      <c r="AX140" t="s">
        <v>74</v>
      </c>
      <c r="AY140" t="s">
        <v>74</v>
      </c>
      <c r="AZ140" t="s">
        <v>74</v>
      </c>
      <c r="BA140" t="s">
        <v>74</v>
      </c>
      <c r="BB140">
        <v>2866</v>
      </c>
      <c r="BC140">
        <v>2875</v>
      </c>
      <c r="BD140" t="s">
        <v>74</v>
      </c>
      <c r="BE140" t="s">
        <v>7068</v>
      </c>
      <c r="BF140" t="str">
        <f>HYPERLINK("http://dx.doi.org/10.1021/acs.analchem.9b05583","http://dx.doi.org/10.1021/acs.analchem.9b05583")</f>
        <v>http://dx.doi.org/10.1021/acs.analchem.9b05583</v>
      </c>
      <c r="BG140" t="s">
        <v>74</v>
      </c>
      <c r="BH140" t="s">
        <v>74</v>
      </c>
      <c r="BI140" t="s">
        <v>74</v>
      </c>
      <c r="BJ140" t="s">
        <v>1196</v>
      </c>
      <c r="BK140" t="s">
        <v>112</v>
      </c>
      <c r="BL140" t="s">
        <v>1197</v>
      </c>
      <c r="BM140" t="s">
        <v>74</v>
      </c>
      <c r="BN140">
        <v>31903745</v>
      </c>
      <c r="BO140" t="s">
        <v>74</v>
      </c>
      <c r="BP140" t="s">
        <v>74</v>
      </c>
      <c r="BQ140" t="s">
        <v>74</v>
      </c>
      <c r="BR140" t="s">
        <v>93</v>
      </c>
      <c r="BS140" t="s">
        <v>7069</v>
      </c>
      <c r="BT140" t="str">
        <f>HYPERLINK("https%3A%2F%2Fwww.webofscience.com%2Fwos%2Fwoscc%2Ffull-record%2FWOS:000511509400069","View Full Record in Web of Science")</f>
        <v>View Full Record in Web of Science</v>
      </c>
    </row>
    <row r="141" spans="1:72" x14ac:dyDescent="0.15">
      <c r="A141" t="s">
        <v>72</v>
      </c>
      <c r="B141" t="s">
        <v>8049</v>
      </c>
      <c r="C141" t="s">
        <v>74</v>
      </c>
      <c r="D141" t="s">
        <v>74</v>
      </c>
      <c r="E141" t="s">
        <v>74</v>
      </c>
      <c r="F141" t="s">
        <v>8050</v>
      </c>
      <c r="G141" t="s">
        <v>74</v>
      </c>
      <c r="H141" t="s">
        <v>74</v>
      </c>
      <c r="I141" t="s">
        <v>8051</v>
      </c>
      <c r="J141" t="s">
        <v>8052</v>
      </c>
      <c r="K141" t="s">
        <v>74</v>
      </c>
      <c r="L141" t="s">
        <v>74</v>
      </c>
      <c r="M141" t="s">
        <v>74</v>
      </c>
      <c r="N141" t="s">
        <v>78</v>
      </c>
      <c r="O141" t="s">
        <v>74</v>
      </c>
      <c r="P141" t="s">
        <v>74</v>
      </c>
      <c r="Q141" t="s">
        <v>74</v>
      </c>
      <c r="R141" t="s">
        <v>74</v>
      </c>
      <c r="S141" t="s">
        <v>74</v>
      </c>
      <c r="T141" t="s">
        <v>8053</v>
      </c>
      <c r="U141" t="s">
        <v>8054</v>
      </c>
      <c r="V141" t="s">
        <v>8055</v>
      </c>
      <c r="W141" t="s">
        <v>8056</v>
      </c>
      <c r="X141" t="s">
        <v>8057</v>
      </c>
      <c r="Y141" t="s">
        <v>8058</v>
      </c>
      <c r="Z141" t="s">
        <v>8059</v>
      </c>
      <c r="AA141" t="s">
        <v>8060</v>
      </c>
      <c r="AB141" t="s">
        <v>8061</v>
      </c>
      <c r="AC141" t="s">
        <v>74</v>
      </c>
      <c r="AD141" t="s">
        <v>74</v>
      </c>
      <c r="AE141" t="s">
        <v>74</v>
      </c>
      <c r="AF141" t="s">
        <v>74</v>
      </c>
      <c r="AG141">
        <v>45</v>
      </c>
      <c r="AH141">
        <v>49</v>
      </c>
      <c r="AI141">
        <v>49</v>
      </c>
      <c r="AJ141">
        <v>0</v>
      </c>
      <c r="AK141">
        <v>11</v>
      </c>
      <c r="AL141" t="s">
        <v>74</v>
      </c>
      <c r="AM141" t="s">
        <v>74</v>
      </c>
      <c r="AN141" t="s">
        <v>74</v>
      </c>
      <c r="AO141" t="s">
        <v>8062</v>
      </c>
      <c r="AP141" t="s">
        <v>8063</v>
      </c>
      <c r="AQ141" t="s">
        <v>74</v>
      </c>
      <c r="AR141" t="s">
        <v>74</v>
      </c>
      <c r="AS141" t="s">
        <v>74</v>
      </c>
      <c r="AT141" t="s">
        <v>8064</v>
      </c>
      <c r="AU141">
        <v>2006</v>
      </c>
      <c r="AV141">
        <v>250</v>
      </c>
      <c r="AW141" t="s">
        <v>8065</v>
      </c>
      <c r="AX141" t="s">
        <v>74</v>
      </c>
      <c r="AY141" t="s">
        <v>74</v>
      </c>
      <c r="AZ141" t="s">
        <v>74</v>
      </c>
      <c r="BA141" t="s">
        <v>74</v>
      </c>
      <c r="BB141">
        <v>80</v>
      </c>
      <c r="BC141">
        <v>83</v>
      </c>
      <c r="BD141" t="s">
        <v>74</v>
      </c>
      <c r="BE141" t="s">
        <v>8066</v>
      </c>
      <c r="BF141" t="str">
        <f>HYPERLINK("http://dx.doi.org/10.1016/j.mce.2005.12.029","http://dx.doi.org/10.1016/j.mce.2005.12.029")</f>
        <v>http://dx.doi.org/10.1016/j.mce.2005.12.029</v>
      </c>
      <c r="BG141" t="s">
        <v>74</v>
      </c>
      <c r="BH141" t="s">
        <v>74</v>
      </c>
      <c r="BI141" t="s">
        <v>74</v>
      </c>
      <c r="BJ141" t="s">
        <v>8067</v>
      </c>
      <c r="BK141" t="s">
        <v>112</v>
      </c>
      <c r="BL141" t="s">
        <v>8067</v>
      </c>
      <c r="BM141" t="s">
        <v>74</v>
      </c>
      <c r="BN141">
        <v>16442705</v>
      </c>
      <c r="BO141" t="s">
        <v>74</v>
      </c>
      <c r="BP141" t="s">
        <v>74</v>
      </c>
      <c r="BQ141" t="s">
        <v>74</v>
      </c>
      <c r="BR141" t="s">
        <v>93</v>
      </c>
      <c r="BS141" t="s">
        <v>8068</v>
      </c>
      <c r="BT141" t="str">
        <f>HYPERLINK("https%3A%2F%2Fwww.webofscience.com%2Fwos%2Fwoscc%2Ffull-record%2FWOS:000238020900012","View Full Record in Web of Science")</f>
        <v>View Full Record in Web of Science</v>
      </c>
    </row>
    <row r="142" spans="1:72" x14ac:dyDescent="0.15">
      <c r="A142" t="s">
        <v>72</v>
      </c>
      <c r="B142" t="s">
        <v>1884</v>
      </c>
      <c r="C142" t="s">
        <v>74</v>
      </c>
      <c r="D142" t="s">
        <v>74</v>
      </c>
      <c r="E142" t="s">
        <v>74</v>
      </c>
      <c r="F142" t="s">
        <v>1885</v>
      </c>
      <c r="G142" t="s">
        <v>74</v>
      </c>
      <c r="H142" t="s">
        <v>74</v>
      </c>
      <c r="I142" t="s">
        <v>1886</v>
      </c>
      <c r="J142" t="s">
        <v>1887</v>
      </c>
      <c r="K142" t="s">
        <v>74</v>
      </c>
      <c r="L142" t="s">
        <v>74</v>
      </c>
      <c r="M142" t="s">
        <v>74</v>
      </c>
      <c r="N142" t="s">
        <v>78</v>
      </c>
      <c r="O142" t="s">
        <v>74</v>
      </c>
      <c r="P142" t="s">
        <v>74</v>
      </c>
      <c r="Q142" t="s">
        <v>74</v>
      </c>
      <c r="R142" t="s">
        <v>74</v>
      </c>
      <c r="S142" t="s">
        <v>74</v>
      </c>
      <c r="T142" t="s">
        <v>1888</v>
      </c>
      <c r="U142" t="s">
        <v>1889</v>
      </c>
      <c r="V142" t="s">
        <v>1890</v>
      </c>
      <c r="W142" t="s">
        <v>1891</v>
      </c>
      <c r="X142" t="s">
        <v>1892</v>
      </c>
      <c r="Y142" t="s">
        <v>1893</v>
      </c>
      <c r="Z142" t="s">
        <v>1894</v>
      </c>
      <c r="AA142" t="s">
        <v>74</v>
      </c>
      <c r="AB142" t="s">
        <v>1895</v>
      </c>
      <c r="AC142" t="s">
        <v>74</v>
      </c>
      <c r="AD142" t="s">
        <v>74</v>
      </c>
      <c r="AE142" t="s">
        <v>74</v>
      </c>
      <c r="AF142" t="s">
        <v>74</v>
      </c>
      <c r="AG142">
        <v>52</v>
      </c>
      <c r="AH142">
        <v>48</v>
      </c>
      <c r="AI142">
        <v>49</v>
      </c>
      <c r="AJ142">
        <v>1</v>
      </c>
      <c r="AK142">
        <v>6</v>
      </c>
      <c r="AL142" t="s">
        <v>74</v>
      </c>
      <c r="AM142" t="s">
        <v>74</v>
      </c>
      <c r="AN142" t="s">
        <v>74</v>
      </c>
      <c r="AO142" t="s">
        <v>1896</v>
      </c>
      <c r="AP142" t="s">
        <v>1897</v>
      </c>
      <c r="AQ142" t="s">
        <v>74</v>
      </c>
      <c r="AR142" t="s">
        <v>74</v>
      </c>
      <c r="AS142" t="s">
        <v>74</v>
      </c>
      <c r="AT142" t="s">
        <v>503</v>
      </c>
      <c r="AU142">
        <v>2016</v>
      </c>
      <c r="AV142">
        <v>111</v>
      </c>
      <c r="AW142">
        <v>1</v>
      </c>
      <c r="AX142" t="s">
        <v>74</v>
      </c>
      <c r="AY142" t="s">
        <v>74</v>
      </c>
      <c r="AZ142" t="s">
        <v>74</v>
      </c>
      <c r="BA142" t="s">
        <v>74</v>
      </c>
      <c r="BB142">
        <v>22</v>
      </c>
      <c r="BC142">
        <v>32</v>
      </c>
      <c r="BD142" t="s">
        <v>74</v>
      </c>
      <c r="BE142" t="s">
        <v>1898</v>
      </c>
      <c r="BF142" t="str">
        <f>HYPERLINK("http://dx.doi.org/10.1111/vox.12390","http://dx.doi.org/10.1111/vox.12390")</f>
        <v>http://dx.doi.org/10.1111/vox.12390</v>
      </c>
      <c r="BG142" t="s">
        <v>74</v>
      </c>
      <c r="BH142" t="s">
        <v>74</v>
      </c>
      <c r="BI142" t="s">
        <v>74</v>
      </c>
      <c r="BJ142" t="s">
        <v>1899</v>
      </c>
      <c r="BK142" t="s">
        <v>112</v>
      </c>
      <c r="BL142" t="s">
        <v>1899</v>
      </c>
      <c r="BM142" t="s">
        <v>74</v>
      </c>
      <c r="BN142">
        <v>26918437</v>
      </c>
      <c r="BO142" t="s">
        <v>74</v>
      </c>
      <c r="BP142" t="s">
        <v>74</v>
      </c>
      <c r="BQ142" t="s">
        <v>74</v>
      </c>
      <c r="BR142" t="s">
        <v>93</v>
      </c>
      <c r="BS142" t="s">
        <v>1900</v>
      </c>
      <c r="BT142" t="str">
        <f>HYPERLINK("https%3A%2F%2Fwww.webofscience.com%2Fwos%2Fwoscc%2Ffull-record%2FWOS:000382772900004","View Full Record in Web of Science")</f>
        <v>View Full Record in Web of Science</v>
      </c>
    </row>
    <row r="143" spans="1:72" x14ac:dyDescent="0.15">
      <c r="A143" t="s">
        <v>72</v>
      </c>
      <c r="B143" t="s">
        <v>8471</v>
      </c>
      <c r="C143" t="s">
        <v>74</v>
      </c>
      <c r="D143" t="s">
        <v>74</v>
      </c>
      <c r="E143" t="s">
        <v>74</v>
      </c>
      <c r="F143" t="s">
        <v>8472</v>
      </c>
      <c r="G143" t="s">
        <v>74</v>
      </c>
      <c r="H143" t="s">
        <v>74</v>
      </c>
      <c r="I143" t="s">
        <v>8473</v>
      </c>
      <c r="J143" t="s">
        <v>5293</v>
      </c>
      <c r="K143" t="s">
        <v>74</v>
      </c>
      <c r="L143" t="s">
        <v>74</v>
      </c>
      <c r="M143" t="s">
        <v>74</v>
      </c>
      <c r="N143" t="s">
        <v>78</v>
      </c>
      <c r="O143" t="s">
        <v>74</v>
      </c>
      <c r="P143" t="s">
        <v>74</v>
      </c>
      <c r="Q143" t="s">
        <v>74</v>
      </c>
      <c r="R143" t="s">
        <v>74</v>
      </c>
      <c r="S143" t="s">
        <v>74</v>
      </c>
      <c r="T143" t="s">
        <v>74</v>
      </c>
      <c r="U143" t="s">
        <v>8474</v>
      </c>
      <c r="V143" t="s">
        <v>8475</v>
      </c>
      <c r="W143" t="s">
        <v>8476</v>
      </c>
      <c r="X143" t="s">
        <v>8477</v>
      </c>
      <c r="Y143" t="s">
        <v>8478</v>
      </c>
      <c r="Z143" t="s">
        <v>8479</v>
      </c>
      <c r="AA143" t="s">
        <v>8480</v>
      </c>
      <c r="AB143" t="s">
        <v>8481</v>
      </c>
      <c r="AC143" t="s">
        <v>74</v>
      </c>
      <c r="AD143" t="s">
        <v>74</v>
      </c>
      <c r="AE143" t="s">
        <v>74</v>
      </c>
      <c r="AF143" t="s">
        <v>74</v>
      </c>
      <c r="AG143">
        <v>47</v>
      </c>
      <c r="AH143">
        <v>48</v>
      </c>
      <c r="AI143">
        <v>51</v>
      </c>
      <c r="AJ143">
        <v>0</v>
      </c>
      <c r="AK143">
        <v>5</v>
      </c>
      <c r="AL143" t="s">
        <v>74</v>
      </c>
      <c r="AM143" t="s">
        <v>74</v>
      </c>
      <c r="AN143" t="s">
        <v>74</v>
      </c>
      <c r="AO143" t="s">
        <v>5300</v>
      </c>
      <c r="AP143" t="s">
        <v>5301</v>
      </c>
      <c r="AQ143" t="s">
        <v>74</v>
      </c>
      <c r="AR143" t="s">
        <v>74</v>
      </c>
      <c r="AS143" t="s">
        <v>74</v>
      </c>
      <c r="AT143" t="s">
        <v>920</v>
      </c>
      <c r="AU143">
        <v>2016</v>
      </c>
      <c r="AV143">
        <v>22</v>
      </c>
      <c r="AW143">
        <v>19</v>
      </c>
      <c r="AX143" t="s">
        <v>74</v>
      </c>
      <c r="AY143" t="s">
        <v>74</v>
      </c>
      <c r="AZ143" t="s">
        <v>74</v>
      </c>
      <c r="BA143" t="s">
        <v>74</v>
      </c>
      <c r="BB143">
        <v>4817</v>
      </c>
      <c r="BC143">
        <v>4826</v>
      </c>
      <c r="BD143" t="s">
        <v>74</v>
      </c>
      <c r="BE143" t="s">
        <v>8482</v>
      </c>
      <c r="BF143" t="str">
        <f>HYPERLINK("http://dx.doi.org/10.1158/1078-0432.CCR-16-0138","http://dx.doi.org/10.1158/1078-0432.CCR-16-0138")</f>
        <v>http://dx.doi.org/10.1158/1078-0432.CCR-16-0138</v>
      </c>
      <c r="BG143" t="s">
        <v>74</v>
      </c>
      <c r="BH143" t="s">
        <v>74</v>
      </c>
      <c r="BI143" t="s">
        <v>74</v>
      </c>
      <c r="BJ143" t="s">
        <v>146</v>
      </c>
      <c r="BK143" t="s">
        <v>112</v>
      </c>
      <c r="BL143" t="s">
        <v>146</v>
      </c>
      <c r="BM143" t="s">
        <v>74</v>
      </c>
      <c r="BN143">
        <v>27259562</v>
      </c>
      <c r="BO143" t="s">
        <v>74</v>
      </c>
      <c r="BP143" t="s">
        <v>74</v>
      </c>
      <c r="BQ143" t="s">
        <v>74</v>
      </c>
      <c r="BR143" t="s">
        <v>93</v>
      </c>
      <c r="BS143" t="s">
        <v>8483</v>
      </c>
      <c r="BT143" t="str">
        <f>HYPERLINK("https%3A%2F%2Fwww.webofscience.com%2Fwos%2Fwoscc%2Ffull-record%2FWOS:000385630500009","View Full Record in Web of Science")</f>
        <v>View Full Record in Web of Science</v>
      </c>
    </row>
    <row r="144" spans="1:72" x14ac:dyDescent="0.15">
      <c r="A144" t="s">
        <v>72</v>
      </c>
      <c r="B144" t="s">
        <v>10386</v>
      </c>
      <c r="C144" t="s">
        <v>74</v>
      </c>
      <c r="D144" t="s">
        <v>74</v>
      </c>
      <c r="E144" t="s">
        <v>74</v>
      </c>
      <c r="F144" t="s">
        <v>10387</v>
      </c>
      <c r="G144" t="s">
        <v>74</v>
      </c>
      <c r="H144" t="s">
        <v>74</v>
      </c>
      <c r="I144" t="s">
        <v>10388</v>
      </c>
      <c r="J144" t="s">
        <v>10389</v>
      </c>
      <c r="K144" t="s">
        <v>74</v>
      </c>
      <c r="L144" t="s">
        <v>74</v>
      </c>
      <c r="M144" t="s">
        <v>74</v>
      </c>
      <c r="N144" t="s">
        <v>78</v>
      </c>
      <c r="O144" t="s">
        <v>74</v>
      </c>
      <c r="P144" t="s">
        <v>74</v>
      </c>
      <c r="Q144" t="s">
        <v>74</v>
      </c>
      <c r="R144" t="s">
        <v>74</v>
      </c>
      <c r="S144" t="s">
        <v>74</v>
      </c>
      <c r="T144" t="s">
        <v>10390</v>
      </c>
      <c r="U144" t="s">
        <v>10391</v>
      </c>
      <c r="V144" t="s">
        <v>10392</v>
      </c>
      <c r="W144" t="s">
        <v>10393</v>
      </c>
      <c r="X144" t="s">
        <v>10394</v>
      </c>
      <c r="Y144" t="s">
        <v>10395</v>
      </c>
      <c r="Z144" t="s">
        <v>10396</v>
      </c>
      <c r="AA144" t="s">
        <v>74</v>
      </c>
      <c r="AB144" t="s">
        <v>74</v>
      </c>
      <c r="AC144" t="s">
        <v>74</v>
      </c>
      <c r="AD144" t="s">
        <v>74</v>
      </c>
      <c r="AE144" t="s">
        <v>74</v>
      </c>
      <c r="AF144" t="s">
        <v>74</v>
      </c>
      <c r="AG144">
        <v>55</v>
      </c>
      <c r="AH144">
        <v>48</v>
      </c>
      <c r="AI144">
        <v>50</v>
      </c>
      <c r="AJ144">
        <v>0</v>
      </c>
      <c r="AK144">
        <v>17</v>
      </c>
      <c r="AL144" t="s">
        <v>74</v>
      </c>
      <c r="AM144" t="s">
        <v>74</v>
      </c>
      <c r="AN144" t="s">
        <v>74</v>
      </c>
      <c r="AO144" t="s">
        <v>10397</v>
      </c>
      <c r="AP144" t="s">
        <v>10398</v>
      </c>
      <c r="AQ144" t="s">
        <v>74</v>
      </c>
      <c r="AR144" t="s">
        <v>74</v>
      </c>
      <c r="AS144" t="s">
        <v>74</v>
      </c>
      <c r="AT144" t="s">
        <v>743</v>
      </c>
      <c r="AU144">
        <v>2014</v>
      </c>
      <c r="AV144">
        <v>23</v>
      </c>
      <c r="AW144">
        <v>3</v>
      </c>
      <c r="AX144" t="s">
        <v>74</v>
      </c>
      <c r="AY144" t="s">
        <v>74</v>
      </c>
      <c r="AZ144" t="s">
        <v>74</v>
      </c>
      <c r="BA144" t="s">
        <v>74</v>
      </c>
      <c r="BB144">
        <v>147</v>
      </c>
      <c r="BC144">
        <v>150</v>
      </c>
      <c r="BD144" t="s">
        <v>74</v>
      </c>
      <c r="BE144" t="s">
        <v>10399</v>
      </c>
      <c r="BF144" t="str">
        <f>HYPERLINK("http://dx.doi.org/10.1111/exd.12341","http://dx.doi.org/10.1111/exd.12341")</f>
        <v>http://dx.doi.org/10.1111/exd.12341</v>
      </c>
      <c r="BG144" t="s">
        <v>74</v>
      </c>
      <c r="BH144" t="s">
        <v>74</v>
      </c>
      <c r="BI144" t="s">
        <v>74</v>
      </c>
      <c r="BJ144" t="s">
        <v>1387</v>
      </c>
      <c r="BK144" t="s">
        <v>112</v>
      </c>
      <c r="BL144" t="s">
        <v>1387</v>
      </c>
      <c r="BM144" t="s">
        <v>74</v>
      </c>
      <c r="BN144">
        <v>24499465</v>
      </c>
      <c r="BO144" t="s">
        <v>74</v>
      </c>
      <c r="BP144" t="s">
        <v>74</v>
      </c>
      <c r="BQ144" t="s">
        <v>74</v>
      </c>
      <c r="BR144" t="s">
        <v>93</v>
      </c>
      <c r="BS144" t="s">
        <v>10400</v>
      </c>
      <c r="BT144" t="str">
        <f>HYPERLINK("https%3A%2F%2Fwww.webofscience.com%2Fwos%2Fwoscc%2Ffull-record%2FWOS:000332335500330","View Full Record in Web of Science")</f>
        <v>View Full Record in Web of Science</v>
      </c>
    </row>
    <row r="145" spans="1:72" x14ac:dyDescent="0.15">
      <c r="A145" t="s">
        <v>72</v>
      </c>
      <c r="B145" t="s">
        <v>1445</v>
      </c>
      <c r="C145" t="s">
        <v>74</v>
      </c>
      <c r="D145" t="s">
        <v>74</v>
      </c>
      <c r="E145" t="s">
        <v>74</v>
      </c>
      <c r="F145" t="s">
        <v>1446</v>
      </c>
      <c r="G145" t="s">
        <v>74</v>
      </c>
      <c r="H145" t="s">
        <v>74</v>
      </c>
      <c r="I145" t="s">
        <v>1447</v>
      </c>
      <c r="J145" t="s">
        <v>1448</v>
      </c>
      <c r="K145" t="s">
        <v>74</v>
      </c>
      <c r="L145" t="s">
        <v>74</v>
      </c>
      <c r="M145" t="s">
        <v>74</v>
      </c>
      <c r="N145" t="s">
        <v>78</v>
      </c>
      <c r="O145" t="s">
        <v>74</v>
      </c>
      <c r="P145" t="s">
        <v>74</v>
      </c>
      <c r="Q145" t="s">
        <v>74</v>
      </c>
      <c r="R145" t="s">
        <v>74</v>
      </c>
      <c r="S145" t="s">
        <v>74</v>
      </c>
      <c r="T145" t="s">
        <v>1449</v>
      </c>
      <c r="U145" t="s">
        <v>1450</v>
      </c>
      <c r="V145" t="s">
        <v>1451</v>
      </c>
      <c r="W145" t="s">
        <v>1452</v>
      </c>
      <c r="X145" t="s">
        <v>1453</v>
      </c>
      <c r="Y145" t="s">
        <v>1454</v>
      </c>
      <c r="Z145" t="s">
        <v>1455</v>
      </c>
      <c r="AA145" t="s">
        <v>74</v>
      </c>
      <c r="AB145" t="s">
        <v>74</v>
      </c>
      <c r="AC145" t="s">
        <v>74</v>
      </c>
      <c r="AD145" t="s">
        <v>74</v>
      </c>
      <c r="AE145" t="s">
        <v>74</v>
      </c>
      <c r="AF145" t="s">
        <v>74</v>
      </c>
      <c r="AG145">
        <v>54</v>
      </c>
      <c r="AH145">
        <v>47</v>
      </c>
      <c r="AI145">
        <v>50</v>
      </c>
      <c r="AJ145">
        <v>3</v>
      </c>
      <c r="AK145">
        <v>13</v>
      </c>
      <c r="AL145" t="s">
        <v>74</v>
      </c>
      <c r="AM145" t="s">
        <v>74</v>
      </c>
      <c r="AN145" t="s">
        <v>74</v>
      </c>
      <c r="AO145" t="s">
        <v>1456</v>
      </c>
      <c r="AP145" t="s">
        <v>74</v>
      </c>
      <c r="AQ145" t="s">
        <v>74</v>
      </c>
      <c r="AR145" t="s">
        <v>74</v>
      </c>
      <c r="AS145" t="s">
        <v>74</v>
      </c>
      <c r="AT145" t="s">
        <v>1457</v>
      </c>
      <c r="AU145">
        <v>2018</v>
      </c>
      <c r="AV145">
        <v>15</v>
      </c>
      <c r="AW145" t="s">
        <v>74</v>
      </c>
      <c r="AX145" t="s">
        <v>74</v>
      </c>
      <c r="AY145" t="s">
        <v>74</v>
      </c>
      <c r="AZ145" t="s">
        <v>74</v>
      </c>
      <c r="BA145" t="s">
        <v>74</v>
      </c>
      <c r="BB145" t="s">
        <v>74</v>
      </c>
      <c r="BC145" t="s">
        <v>74</v>
      </c>
      <c r="BD145">
        <v>239</v>
      </c>
      <c r="BE145" t="s">
        <v>1458</v>
      </c>
      <c r="BF145" t="str">
        <f>HYPERLINK("http://dx.doi.org/10.1186/s12974-018-1275-5","http://dx.doi.org/10.1186/s12974-018-1275-5")</f>
        <v>http://dx.doi.org/10.1186/s12974-018-1275-5</v>
      </c>
      <c r="BG145" t="s">
        <v>74</v>
      </c>
      <c r="BH145" t="s">
        <v>74</v>
      </c>
      <c r="BI145" t="s">
        <v>74</v>
      </c>
      <c r="BJ145" t="s">
        <v>1459</v>
      </c>
      <c r="BK145" t="s">
        <v>1460</v>
      </c>
      <c r="BL145" t="s">
        <v>1461</v>
      </c>
      <c r="BM145" t="s">
        <v>74</v>
      </c>
      <c r="BN145">
        <v>30149804</v>
      </c>
      <c r="BO145" t="s">
        <v>74</v>
      </c>
      <c r="BP145" t="s">
        <v>74</v>
      </c>
      <c r="BQ145" t="s">
        <v>74</v>
      </c>
      <c r="BR145" t="s">
        <v>93</v>
      </c>
      <c r="BS145" t="s">
        <v>1462</v>
      </c>
      <c r="BT145" t="str">
        <f>HYPERLINK("https%3A%2F%2Fwww.webofscience.com%2Fwos%2Fwoscc%2Ffull-record%2FWOS:000442840300001","View Full Record in Web of Science")</f>
        <v>View Full Record in Web of Science</v>
      </c>
    </row>
    <row r="146" spans="1:72" x14ac:dyDescent="0.15">
      <c r="A146" t="s">
        <v>72</v>
      </c>
      <c r="B146" t="s">
        <v>3126</v>
      </c>
      <c r="C146" t="s">
        <v>74</v>
      </c>
      <c r="D146" t="s">
        <v>74</v>
      </c>
      <c r="E146" t="s">
        <v>74</v>
      </c>
      <c r="F146" t="s">
        <v>3127</v>
      </c>
      <c r="G146" t="s">
        <v>74</v>
      </c>
      <c r="H146" t="s">
        <v>74</v>
      </c>
      <c r="I146" t="s">
        <v>3128</v>
      </c>
      <c r="J146" t="s">
        <v>3129</v>
      </c>
      <c r="K146" t="s">
        <v>74</v>
      </c>
      <c r="L146" t="s">
        <v>74</v>
      </c>
      <c r="M146" t="s">
        <v>74</v>
      </c>
      <c r="N146" t="s">
        <v>78</v>
      </c>
      <c r="O146" t="s">
        <v>74</v>
      </c>
      <c r="P146" t="s">
        <v>74</v>
      </c>
      <c r="Q146" t="s">
        <v>74</v>
      </c>
      <c r="R146" t="s">
        <v>74</v>
      </c>
      <c r="S146" t="s">
        <v>74</v>
      </c>
      <c r="T146" t="s">
        <v>3130</v>
      </c>
      <c r="U146" t="s">
        <v>3131</v>
      </c>
      <c r="V146" t="s">
        <v>3132</v>
      </c>
      <c r="W146" t="s">
        <v>3133</v>
      </c>
      <c r="X146" t="s">
        <v>3134</v>
      </c>
      <c r="Y146" t="s">
        <v>3135</v>
      </c>
      <c r="Z146" t="s">
        <v>1420</v>
      </c>
      <c r="AA146" t="s">
        <v>3136</v>
      </c>
      <c r="AB146" t="s">
        <v>3137</v>
      </c>
      <c r="AC146" t="s">
        <v>74</v>
      </c>
      <c r="AD146" t="s">
        <v>74</v>
      </c>
      <c r="AE146" t="s">
        <v>74</v>
      </c>
      <c r="AF146" t="s">
        <v>74</v>
      </c>
      <c r="AG146">
        <v>29</v>
      </c>
      <c r="AH146">
        <v>47</v>
      </c>
      <c r="AI146">
        <v>47</v>
      </c>
      <c r="AJ146">
        <v>0</v>
      </c>
      <c r="AK146">
        <v>18</v>
      </c>
      <c r="AL146" t="s">
        <v>74</v>
      </c>
      <c r="AM146" t="s">
        <v>74</v>
      </c>
      <c r="AN146" t="s">
        <v>74</v>
      </c>
      <c r="AO146" t="s">
        <v>3138</v>
      </c>
      <c r="AP146" t="s">
        <v>74</v>
      </c>
      <c r="AQ146" t="s">
        <v>74</v>
      </c>
      <c r="AR146" t="s">
        <v>74</v>
      </c>
      <c r="AS146" t="s">
        <v>74</v>
      </c>
      <c r="AT146" t="s">
        <v>743</v>
      </c>
      <c r="AU146">
        <v>2018</v>
      </c>
      <c r="AV146">
        <v>15</v>
      </c>
      <c r="AW146">
        <v>3</v>
      </c>
      <c r="AX146" t="s">
        <v>74</v>
      </c>
      <c r="AY146" t="s">
        <v>74</v>
      </c>
      <c r="AZ146" t="s">
        <v>1075</v>
      </c>
      <c r="BA146" t="s">
        <v>74</v>
      </c>
      <c r="BB146">
        <v>1073</v>
      </c>
      <c r="BC146">
        <v>1080</v>
      </c>
      <c r="BD146" t="s">
        <v>74</v>
      </c>
      <c r="BE146" t="s">
        <v>3139</v>
      </c>
      <c r="BF146" t="str">
        <f>HYPERLINK("http://dx.doi.org/10.1021/acs.molpharmaceut.7b00950","http://dx.doi.org/10.1021/acs.molpharmaceut.7b00950")</f>
        <v>http://dx.doi.org/10.1021/acs.molpharmaceut.7b00950</v>
      </c>
      <c r="BG146" t="s">
        <v>74</v>
      </c>
      <c r="BH146" t="s">
        <v>74</v>
      </c>
      <c r="BI146" t="s">
        <v>74</v>
      </c>
      <c r="BJ146" t="s">
        <v>3140</v>
      </c>
      <c r="BK146" t="s">
        <v>112</v>
      </c>
      <c r="BL146" t="s">
        <v>3141</v>
      </c>
      <c r="BM146" t="s">
        <v>74</v>
      </c>
      <c r="BN146">
        <v>29382201</v>
      </c>
      <c r="BO146" t="s">
        <v>74</v>
      </c>
      <c r="BP146" t="s">
        <v>74</v>
      </c>
      <c r="BQ146" t="s">
        <v>74</v>
      </c>
      <c r="BR146" t="s">
        <v>93</v>
      </c>
      <c r="BS146" t="s">
        <v>3142</v>
      </c>
      <c r="BT146" t="str">
        <f>HYPERLINK("https%3A%2F%2Fwww.webofscience.com%2Fwos%2Fwoscc%2Ffull-record%2FWOS:000427093600036","View Full Record in Web of Science")</f>
        <v>View Full Record in Web of Science</v>
      </c>
    </row>
    <row r="147" spans="1:72" x14ac:dyDescent="0.15">
      <c r="A147" t="s">
        <v>72</v>
      </c>
      <c r="B147" t="s">
        <v>5238</v>
      </c>
      <c r="C147" t="s">
        <v>74</v>
      </c>
      <c r="D147" t="s">
        <v>74</v>
      </c>
      <c r="E147" t="s">
        <v>74</v>
      </c>
      <c r="F147" t="s">
        <v>5239</v>
      </c>
      <c r="G147" t="s">
        <v>74</v>
      </c>
      <c r="H147" t="s">
        <v>74</v>
      </c>
      <c r="I147" t="s">
        <v>5240</v>
      </c>
      <c r="J147" t="s">
        <v>992</v>
      </c>
      <c r="K147" t="s">
        <v>74</v>
      </c>
      <c r="L147" t="s">
        <v>74</v>
      </c>
      <c r="M147" t="s">
        <v>74</v>
      </c>
      <c r="N147" t="s">
        <v>78</v>
      </c>
      <c r="O147" t="s">
        <v>74</v>
      </c>
      <c r="P147" t="s">
        <v>74</v>
      </c>
      <c r="Q147" t="s">
        <v>74</v>
      </c>
      <c r="R147" t="s">
        <v>74</v>
      </c>
      <c r="S147" t="s">
        <v>74</v>
      </c>
      <c r="T147" t="s">
        <v>5241</v>
      </c>
      <c r="U147" t="s">
        <v>5242</v>
      </c>
      <c r="V147" t="s">
        <v>5243</v>
      </c>
      <c r="W147" t="s">
        <v>5244</v>
      </c>
      <c r="X147" t="s">
        <v>5245</v>
      </c>
      <c r="Y147" t="s">
        <v>5246</v>
      </c>
      <c r="Z147" t="s">
        <v>5247</v>
      </c>
      <c r="AA147" t="s">
        <v>74</v>
      </c>
      <c r="AB147" t="s">
        <v>5248</v>
      </c>
      <c r="AC147" t="s">
        <v>74</v>
      </c>
      <c r="AD147" t="s">
        <v>74</v>
      </c>
      <c r="AE147" t="s">
        <v>74</v>
      </c>
      <c r="AF147" t="s">
        <v>74</v>
      </c>
      <c r="AG147">
        <v>28</v>
      </c>
      <c r="AH147">
        <v>47</v>
      </c>
      <c r="AI147">
        <v>48</v>
      </c>
      <c r="AJ147">
        <v>28</v>
      </c>
      <c r="AK147">
        <v>267</v>
      </c>
      <c r="AL147" t="s">
        <v>74</v>
      </c>
      <c r="AM147" t="s">
        <v>74</v>
      </c>
      <c r="AN147" t="s">
        <v>74</v>
      </c>
      <c r="AO147" t="s">
        <v>1001</v>
      </c>
      <c r="AP147" t="s">
        <v>1002</v>
      </c>
      <c r="AQ147" t="s">
        <v>74</v>
      </c>
      <c r="AR147" t="s">
        <v>74</v>
      </c>
      <c r="AS147" t="s">
        <v>74</v>
      </c>
      <c r="AT147" t="s">
        <v>4471</v>
      </c>
      <c r="AU147">
        <v>2018</v>
      </c>
      <c r="AV147">
        <v>102</v>
      </c>
      <c r="AW147" t="s">
        <v>74</v>
      </c>
      <c r="AX147" t="s">
        <v>74</v>
      </c>
      <c r="AY147" t="s">
        <v>74</v>
      </c>
      <c r="AZ147" t="s">
        <v>74</v>
      </c>
      <c r="BA147" t="s">
        <v>74</v>
      </c>
      <c r="BB147">
        <v>204</v>
      </c>
      <c r="BC147">
        <v>210</v>
      </c>
      <c r="BD147" t="s">
        <v>74</v>
      </c>
      <c r="BE147" t="s">
        <v>5249</v>
      </c>
      <c r="BF147" t="str">
        <f>HYPERLINK("http://dx.doi.org/10.1016/j.bios.2017.11.033","http://dx.doi.org/10.1016/j.bios.2017.11.033")</f>
        <v>http://dx.doi.org/10.1016/j.bios.2017.11.033</v>
      </c>
      <c r="BG147" t="s">
        <v>74</v>
      </c>
      <c r="BH147" t="s">
        <v>74</v>
      </c>
      <c r="BI147" t="s">
        <v>74</v>
      </c>
      <c r="BJ147" t="s">
        <v>1006</v>
      </c>
      <c r="BK147" t="s">
        <v>112</v>
      </c>
      <c r="BL147" t="s">
        <v>1007</v>
      </c>
      <c r="BM147" t="s">
        <v>74</v>
      </c>
      <c r="BN147">
        <v>29145073</v>
      </c>
      <c r="BO147" t="s">
        <v>74</v>
      </c>
      <c r="BP147" t="s">
        <v>74</v>
      </c>
      <c r="BQ147" t="s">
        <v>74</v>
      </c>
      <c r="BR147" t="s">
        <v>93</v>
      </c>
      <c r="BS147" t="s">
        <v>5250</v>
      </c>
      <c r="BT147" t="str">
        <f>HYPERLINK("https%3A%2F%2Fwww.webofscience.com%2Fwos%2Fwoscc%2Ffull-record%2FWOS:000424176600027","View Full Record in Web of Science")</f>
        <v>View Full Record in Web of Science</v>
      </c>
    </row>
    <row r="148" spans="1:72" x14ac:dyDescent="0.15">
      <c r="A148" t="s">
        <v>72</v>
      </c>
      <c r="B148" t="s">
        <v>10578</v>
      </c>
      <c r="C148" t="s">
        <v>74</v>
      </c>
      <c r="D148" t="s">
        <v>74</v>
      </c>
      <c r="E148" t="s">
        <v>74</v>
      </c>
      <c r="F148" t="s">
        <v>10579</v>
      </c>
      <c r="G148" t="s">
        <v>74</v>
      </c>
      <c r="H148" t="s">
        <v>74</v>
      </c>
      <c r="I148" t="s">
        <v>10580</v>
      </c>
      <c r="J148" t="s">
        <v>177</v>
      </c>
      <c r="K148" t="s">
        <v>74</v>
      </c>
      <c r="L148" t="s">
        <v>74</v>
      </c>
      <c r="M148" t="s">
        <v>74</v>
      </c>
      <c r="N148" t="s">
        <v>78</v>
      </c>
      <c r="O148" t="s">
        <v>74</v>
      </c>
      <c r="P148" t="s">
        <v>74</v>
      </c>
      <c r="Q148" t="s">
        <v>74</v>
      </c>
      <c r="R148" t="s">
        <v>74</v>
      </c>
      <c r="S148" t="s">
        <v>74</v>
      </c>
      <c r="T148" t="s">
        <v>10581</v>
      </c>
      <c r="U148" t="s">
        <v>10582</v>
      </c>
      <c r="V148" t="s">
        <v>10583</v>
      </c>
      <c r="W148" t="s">
        <v>10584</v>
      </c>
      <c r="X148" t="s">
        <v>10585</v>
      </c>
      <c r="Y148" t="s">
        <v>10586</v>
      </c>
      <c r="Z148" t="s">
        <v>10587</v>
      </c>
      <c r="AA148" t="s">
        <v>10588</v>
      </c>
      <c r="AB148" t="s">
        <v>10589</v>
      </c>
      <c r="AC148" t="s">
        <v>74</v>
      </c>
      <c r="AD148" t="s">
        <v>74</v>
      </c>
      <c r="AE148" t="s">
        <v>74</v>
      </c>
      <c r="AF148" t="s">
        <v>74</v>
      </c>
      <c r="AG148">
        <v>49</v>
      </c>
      <c r="AH148">
        <v>47</v>
      </c>
      <c r="AI148">
        <v>52</v>
      </c>
      <c r="AJ148">
        <v>5</v>
      </c>
      <c r="AK148">
        <v>18</v>
      </c>
      <c r="AL148" t="s">
        <v>74</v>
      </c>
      <c r="AM148" t="s">
        <v>74</v>
      </c>
      <c r="AN148" t="s">
        <v>74</v>
      </c>
      <c r="AO148" t="s">
        <v>74</v>
      </c>
      <c r="AP148" t="s">
        <v>185</v>
      </c>
      <c r="AQ148" t="s">
        <v>74</v>
      </c>
      <c r="AR148" t="s">
        <v>74</v>
      </c>
      <c r="AS148" t="s">
        <v>74</v>
      </c>
      <c r="AT148" t="s">
        <v>3004</v>
      </c>
      <c r="AU148">
        <v>2019</v>
      </c>
      <c r="AV148">
        <v>18</v>
      </c>
      <c r="AW148" t="s">
        <v>74</v>
      </c>
      <c r="AX148" t="s">
        <v>74</v>
      </c>
      <c r="AY148" t="s">
        <v>74</v>
      </c>
      <c r="AZ148" t="s">
        <v>74</v>
      </c>
      <c r="BA148" t="s">
        <v>74</v>
      </c>
      <c r="BB148" t="s">
        <v>74</v>
      </c>
      <c r="BC148" t="s">
        <v>74</v>
      </c>
      <c r="BD148">
        <v>22</v>
      </c>
      <c r="BE148" t="s">
        <v>10590</v>
      </c>
      <c r="BF148" t="str">
        <f>HYPERLINK("http://dx.doi.org/10.1186/s12943-019-0949-7","http://dx.doi.org/10.1186/s12943-019-0949-7")</f>
        <v>http://dx.doi.org/10.1186/s12943-019-0949-7</v>
      </c>
      <c r="BG148" t="s">
        <v>74</v>
      </c>
      <c r="BH148" t="s">
        <v>74</v>
      </c>
      <c r="BI148" t="s">
        <v>74</v>
      </c>
      <c r="BJ148" t="s">
        <v>188</v>
      </c>
      <c r="BK148" t="s">
        <v>112</v>
      </c>
      <c r="BL148" t="s">
        <v>188</v>
      </c>
      <c r="BM148" t="s">
        <v>74</v>
      </c>
      <c r="BN148">
        <v>30736860</v>
      </c>
      <c r="BO148" t="s">
        <v>74</v>
      </c>
      <c r="BP148" t="s">
        <v>74</v>
      </c>
      <c r="BQ148" t="s">
        <v>74</v>
      </c>
      <c r="BR148" t="s">
        <v>93</v>
      </c>
      <c r="BS148" t="s">
        <v>10591</v>
      </c>
      <c r="BT148" t="str">
        <f>HYPERLINK("https%3A%2F%2Fwww.webofscience.com%2Fwos%2Fwoscc%2Ffull-record%2FWOS:000458166100001","View Full Record in Web of Science")</f>
        <v>View Full Record in Web of Science</v>
      </c>
    </row>
    <row r="149" spans="1:72" x14ac:dyDescent="0.15">
      <c r="A149" t="s">
        <v>72</v>
      </c>
      <c r="B149" t="s">
        <v>8971</v>
      </c>
      <c r="C149" t="s">
        <v>74</v>
      </c>
      <c r="D149" t="s">
        <v>74</v>
      </c>
      <c r="E149" t="s">
        <v>74</v>
      </c>
      <c r="F149" t="s">
        <v>8972</v>
      </c>
      <c r="G149" t="s">
        <v>74</v>
      </c>
      <c r="H149" t="s">
        <v>74</v>
      </c>
      <c r="I149" t="s">
        <v>8973</v>
      </c>
      <c r="J149" t="s">
        <v>6200</v>
      </c>
      <c r="K149" t="s">
        <v>74</v>
      </c>
      <c r="L149" t="s">
        <v>74</v>
      </c>
      <c r="M149" t="s">
        <v>74</v>
      </c>
      <c r="N149" t="s">
        <v>78</v>
      </c>
      <c r="O149" t="s">
        <v>74</v>
      </c>
      <c r="P149" t="s">
        <v>74</v>
      </c>
      <c r="Q149" t="s">
        <v>74</v>
      </c>
      <c r="R149" t="s">
        <v>74</v>
      </c>
      <c r="S149" t="s">
        <v>74</v>
      </c>
      <c r="T149" t="s">
        <v>74</v>
      </c>
      <c r="U149" t="s">
        <v>8974</v>
      </c>
      <c r="V149" t="s">
        <v>8975</v>
      </c>
      <c r="W149" t="s">
        <v>8976</v>
      </c>
      <c r="X149" t="s">
        <v>8977</v>
      </c>
      <c r="Y149" t="s">
        <v>8978</v>
      </c>
      <c r="Z149" t="s">
        <v>8979</v>
      </c>
      <c r="AA149" t="s">
        <v>8980</v>
      </c>
      <c r="AB149" t="s">
        <v>8981</v>
      </c>
      <c r="AC149" t="s">
        <v>74</v>
      </c>
      <c r="AD149" t="s">
        <v>74</v>
      </c>
      <c r="AE149" t="s">
        <v>74</v>
      </c>
      <c r="AF149" t="s">
        <v>74</v>
      </c>
      <c r="AG149">
        <v>46</v>
      </c>
      <c r="AH149">
        <v>46</v>
      </c>
      <c r="AI149">
        <v>48</v>
      </c>
      <c r="AJ149">
        <v>0</v>
      </c>
      <c r="AK149">
        <v>3</v>
      </c>
      <c r="AL149" t="s">
        <v>74</v>
      </c>
      <c r="AM149" t="s">
        <v>74</v>
      </c>
      <c r="AN149" t="s">
        <v>74</v>
      </c>
      <c r="AO149" t="s">
        <v>74</v>
      </c>
      <c r="AP149" t="s">
        <v>6209</v>
      </c>
      <c r="AQ149" t="s">
        <v>74</v>
      </c>
      <c r="AR149" t="s">
        <v>74</v>
      </c>
      <c r="AS149" t="s">
        <v>74</v>
      </c>
      <c r="AT149" t="s">
        <v>4127</v>
      </c>
      <c r="AU149">
        <v>2017</v>
      </c>
      <c r="AV149">
        <v>2</v>
      </c>
      <c r="AW149">
        <v>14</v>
      </c>
      <c r="AX149" t="s">
        <v>74</v>
      </c>
      <c r="AY149" t="s">
        <v>74</v>
      </c>
      <c r="AZ149" t="s">
        <v>74</v>
      </c>
      <c r="BA149" t="s">
        <v>74</v>
      </c>
      <c r="BB149" t="s">
        <v>74</v>
      </c>
      <c r="BC149" t="s">
        <v>74</v>
      </c>
      <c r="BD149" t="s">
        <v>8982</v>
      </c>
      <c r="BE149" t="s">
        <v>8983</v>
      </c>
      <c r="BF149" t="str">
        <f>HYPERLINK("http://dx.doi.org/10.1172/jci.insight.92634","http://dx.doi.org/10.1172/jci.insight.92634")</f>
        <v>http://dx.doi.org/10.1172/jci.insight.92634</v>
      </c>
      <c r="BG149" t="s">
        <v>74</v>
      </c>
      <c r="BH149" t="s">
        <v>74</v>
      </c>
      <c r="BI149" t="s">
        <v>74</v>
      </c>
      <c r="BJ149" t="s">
        <v>506</v>
      </c>
      <c r="BK149" t="s">
        <v>112</v>
      </c>
      <c r="BL149" t="s">
        <v>507</v>
      </c>
      <c r="BM149" t="s">
        <v>74</v>
      </c>
      <c r="BN149">
        <v>28724791</v>
      </c>
      <c r="BO149" t="s">
        <v>74</v>
      </c>
      <c r="BP149" t="s">
        <v>74</v>
      </c>
      <c r="BQ149" t="s">
        <v>74</v>
      </c>
      <c r="BR149" t="s">
        <v>93</v>
      </c>
      <c r="BS149" t="s">
        <v>8984</v>
      </c>
      <c r="BT149" t="str">
        <f>HYPERLINK("https%3A%2F%2Fwww.webofscience.com%2Fwos%2Fwoscc%2Ffull-record%2FWOS:000405904800005","View Full Record in Web of Science")</f>
        <v>View Full Record in Web of Science</v>
      </c>
    </row>
    <row r="150" spans="1:72" x14ac:dyDescent="0.15">
      <c r="A150" t="s">
        <v>72</v>
      </c>
      <c r="B150" t="s">
        <v>7639</v>
      </c>
      <c r="C150" t="s">
        <v>74</v>
      </c>
      <c r="D150" t="s">
        <v>74</v>
      </c>
      <c r="E150" t="s">
        <v>74</v>
      </c>
      <c r="F150" t="s">
        <v>7639</v>
      </c>
      <c r="G150" t="s">
        <v>74</v>
      </c>
      <c r="H150" t="s">
        <v>74</v>
      </c>
      <c r="I150" t="s">
        <v>7640</v>
      </c>
      <c r="J150" t="s">
        <v>426</v>
      </c>
      <c r="K150" t="s">
        <v>74</v>
      </c>
      <c r="L150" t="s">
        <v>74</v>
      </c>
      <c r="M150" t="s">
        <v>74</v>
      </c>
      <c r="N150" t="s">
        <v>78</v>
      </c>
      <c r="O150" t="s">
        <v>74</v>
      </c>
      <c r="P150" t="s">
        <v>74</v>
      </c>
      <c r="Q150" t="s">
        <v>74</v>
      </c>
      <c r="R150" t="s">
        <v>74</v>
      </c>
      <c r="S150" t="s">
        <v>74</v>
      </c>
      <c r="T150" t="s">
        <v>7641</v>
      </c>
      <c r="U150" t="s">
        <v>7642</v>
      </c>
      <c r="V150" t="s">
        <v>7643</v>
      </c>
      <c r="W150" t="s">
        <v>7644</v>
      </c>
      <c r="X150" t="s">
        <v>7645</v>
      </c>
      <c r="Y150" t="s">
        <v>7646</v>
      </c>
      <c r="Z150" t="s">
        <v>7647</v>
      </c>
      <c r="AA150" t="s">
        <v>7648</v>
      </c>
      <c r="AB150" t="s">
        <v>74</v>
      </c>
      <c r="AC150" t="s">
        <v>74</v>
      </c>
      <c r="AD150" t="s">
        <v>74</v>
      </c>
      <c r="AE150" t="s">
        <v>74</v>
      </c>
      <c r="AF150" t="s">
        <v>74</v>
      </c>
      <c r="AG150">
        <v>47</v>
      </c>
      <c r="AH150">
        <v>45</v>
      </c>
      <c r="AI150">
        <v>47</v>
      </c>
      <c r="AJ150">
        <v>0</v>
      </c>
      <c r="AK150">
        <v>3</v>
      </c>
      <c r="AL150" t="s">
        <v>74</v>
      </c>
      <c r="AM150" t="s">
        <v>74</v>
      </c>
      <c r="AN150" t="s">
        <v>74</v>
      </c>
      <c r="AO150" t="s">
        <v>435</v>
      </c>
      <c r="AP150" t="s">
        <v>74</v>
      </c>
      <c r="AQ150" t="s">
        <v>74</v>
      </c>
      <c r="AR150" t="s">
        <v>74</v>
      </c>
      <c r="AS150" t="s">
        <v>74</v>
      </c>
      <c r="AT150" t="s">
        <v>6545</v>
      </c>
      <c r="AU150">
        <v>2001</v>
      </c>
      <c r="AV150">
        <v>49</v>
      </c>
      <c r="AW150">
        <v>3</v>
      </c>
      <c r="AX150" t="s">
        <v>74</v>
      </c>
      <c r="AY150" t="s">
        <v>74</v>
      </c>
      <c r="AZ150" t="s">
        <v>74</v>
      </c>
      <c r="BA150" t="s">
        <v>74</v>
      </c>
      <c r="BB150">
        <v>172</v>
      </c>
      <c r="BC150">
        <v>184</v>
      </c>
      <c r="BD150" t="s">
        <v>74</v>
      </c>
      <c r="BE150" t="s">
        <v>7649</v>
      </c>
      <c r="BF150" t="str">
        <f>HYPERLINK("http://dx.doi.org/10.1002/pros.1132","http://dx.doi.org/10.1002/pros.1132")</f>
        <v>http://dx.doi.org/10.1002/pros.1132</v>
      </c>
      <c r="BG150" t="s">
        <v>74</v>
      </c>
      <c r="BH150" t="s">
        <v>74</v>
      </c>
      <c r="BI150" t="s">
        <v>74</v>
      </c>
      <c r="BJ150" t="s">
        <v>439</v>
      </c>
      <c r="BK150" t="s">
        <v>112</v>
      </c>
      <c r="BL150" t="s">
        <v>439</v>
      </c>
      <c r="BM150" t="s">
        <v>74</v>
      </c>
      <c r="BN150">
        <v>11746262</v>
      </c>
      <c r="BO150" t="s">
        <v>74</v>
      </c>
      <c r="BP150" t="s">
        <v>74</v>
      </c>
      <c r="BQ150" t="s">
        <v>74</v>
      </c>
      <c r="BR150" t="s">
        <v>93</v>
      </c>
      <c r="BS150" t="s">
        <v>7650</v>
      </c>
      <c r="BT150" t="str">
        <f>HYPERLINK("https%3A%2F%2Fwww.webofscience.com%2Fwos%2Fwoscc%2Ffull-record%2FWOS:000172006900003","View Full Record in Web of Science")</f>
        <v>View Full Record in Web of Science</v>
      </c>
    </row>
    <row r="151" spans="1:72" x14ac:dyDescent="0.15">
      <c r="A151" t="s">
        <v>72</v>
      </c>
      <c r="B151" t="s">
        <v>7946</v>
      </c>
      <c r="C151" t="s">
        <v>74</v>
      </c>
      <c r="D151" t="s">
        <v>74</v>
      </c>
      <c r="E151" t="s">
        <v>74</v>
      </c>
      <c r="F151" t="s">
        <v>7947</v>
      </c>
      <c r="G151" t="s">
        <v>74</v>
      </c>
      <c r="H151" t="s">
        <v>74</v>
      </c>
      <c r="I151" t="s">
        <v>7948</v>
      </c>
      <c r="J151" t="s">
        <v>7949</v>
      </c>
      <c r="K151" t="s">
        <v>74</v>
      </c>
      <c r="L151" t="s">
        <v>74</v>
      </c>
      <c r="M151" t="s">
        <v>74</v>
      </c>
      <c r="N151" t="s">
        <v>78</v>
      </c>
      <c r="O151" t="s">
        <v>74</v>
      </c>
      <c r="P151" t="s">
        <v>74</v>
      </c>
      <c r="Q151" t="s">
        <v>74</v>
      </c>
      <c r="R151" t="s">
        <v>74</v>
      </c>
      <c r="S151" t="s">
        <v>74</v>
      </c>
      <c r="T151" t="s">
        <v>7950</v>
      </c>
      <c r="U151" t="s">
        <v>7951</v>
      </c>
      <c r="V151" t="s">
        <v>7952</v>
      </c>
      <c r="W151" t="s">
        <v>7953</v>
      </c>
      <c r="X151" t="s">
        <v>7954</v>
      </c>
      <c r="Y151" t="s">
        <v>7955</v>
      </c>
      <c r="Z151" t="s">
        <v>7956</v>
      </c>
      <c r="AA151" t="s">
        <v>74</v>
      </c>
      <c r="AB151" t="s">
        <v>1554</v>
      </c>
      <c r="AC151" t="s">
        <v>74</v>
      </c>
      <c r="AD151" t="s">
        <v>74</v>
      </c>
      <c r="AE151" t="s">
        <v>74</v>
      </c>
      <c r="AF151" t="s">
        <v>74</v>
      </c>
      <c r="AG151">
        <v>39</v>
      </c>
      <c r="AH151">
        <v>45</v>
      </c>
      <c r="AI151">
        <v>48</v>
      </c>
      <c r="AJ151">
        <v>1</v>
      </c>
      <c r="AK151">
        <v>5</v>
      </c>
      <c r="AL151" t="s">
        <v>74</v>
      </c>
      <c r="AM151" t="s">
        <v>74</v>
      </c>
      <c r="AN151" t="s">
        <v>74</v>
      </c>
      <c r="AO151" t="s">
        <v>7957</v>
      </c>
      <c r="AP151" t="s">
        <v>7958</v>
      </c>
      <c r="AQ151" t="s">
        <v>74</v>
      </c>
      <c r="AR151" t="s">
        <v>74</v>
      </c>
      <c r="AS151" t="s">
        <v>74</v>
      </c>
      <c r="AT151" t="s">
        <v>1111</v>
      </c>
      <c r="AU151">
        <v>2018</v>
      </c>
      <c r="AV151">
        <v>23</v>
      </c>
      <c r="AW151">
        <v>5</v>
      </c>
      <c r="AX151" t="s">
        <v>74</v>
      </c>
      <c r="AY151" t="s">
        <v>74</v>
      </c>
      <c r="AZ151" t="s">
        <v>74</v>
      </c>
      <c r="BA151" t="s">
        <v>74</v>
      </c>
      <c r="BB151">
        <v>566</v>
      </c>
      <c r="BC151">
        <v>572</v>
      </c>
      <c r="BD151" t="s">
        <v>74</v>
      </c>
      <c r="BE151" t="s">
        <v>7959</v>
      </c>
      <c r="BF151" t="str">
        <f>HYPERLINK("http://dx.doi.org/10.1634/theoncologist.2017-0467","http://dx.doi.org/10.1634/theoncologist.2017-0467")</f>
        <v>http://dx.doi.org/10.1634/theoncologist.2017-0467</v>
      </c>
      <c r="BG151" t="s">
        <v>74</v>
      </c>
      <c r="BH151" t="s">
        <v>74</v>
      </c>
      <c r="BI151" t="s">
        <v>74</v>
      </c>
      <c r="BJ151" t="s">
        <v>146</v>
      </c>
      <c r="BK151" t="s">
        <v>112</v>
      </c>
      <c r="BL151" t="s">
        <v>146</v>
      </c>
      <c r="BM151" t="s">
        <v>74</v>
      </c>
      <c r="BN151">
        <v>29371474</v>
      </c>
      <c r="BO151" t="s">
        <v>74</v>
      </c>
      <c r="BP151" t="s">
        <v>74</v>
      </c>
      <c r="BQ151" t="s">
        <v>74</v>
      </c>
      <c r="BR151" t="s">
        <v>93</v>
      </c>
      <c r="BS151" t="s">
        <v>7960</v>
      </c>
      <c r="BT151" t="str">
        <f>HYPERLINK("https%3A%2F%2Fwww.webofscience.com%2Fwos%2Fwoscc%2Ffull-record%2FWOS:000431968200009","View Full Record in Web of Science")</f>
        <v>View Full Record in Web of Science</v>
      </c>
    </row>
    <row r="152" spans="1:72" x14ac:dyDescent="0.15">
      <c r="A152" t="s">
        <v>72</v>
      </c>
      <c r="B152" t="s">
        <v>7934</v>
      </c>
      <c r="C152" t="s">
        <v>74</v>
      </c>
      <c r="D152" t="s">
        <v>74</v>
      </c>
      <c r="E152" t="s">
        <v>74</v>
      </c>
      <c r="F152" t="s">
        <v>7934</v>
      </c>
      <c r="G152" t="s">
        <v>74</v>
      </c>
      <c r="H152" t="s">
        <v>74</v>
      </c>
      <c r="I152" t="s">
        <v>7935</v>
      </c>
      <c r="J152" t="s">
        <v>7936</v>
      </c>
      <c r="K152" t="s">
        <v>74</v>
      </c>
      <c r="L152" t="s">
        <v>74</v>
      </c>
      <c r="M152" t="s">
        <v>74</v>
      </c>
      <c r="N152" t="s">
        <v>78</v>
      </c>
      <c r="O152" t="s">
        <v>74</v>
      </c>
      <c r="P152" t="s">
        <v>74</v>
      </c>
      <c r="Q152" t="s">
        <v>74</v>
      </c>
      <c r="R152" t="s">
        <v>74</v>
      </c>
      <c r="S152" t="s">
        <v>74</v>
      </c>
      <c r="T152" t="s">
        <v>74</v>
      </c>
      <c r="U152" t="s">
        <v>7937</v>
      </c>
      <c r="V152" t="s">
        <v>7938</v>
      </c>
      <c r="W152" t="s">
        <v>7939</v>
      </c>
      <c r="X152" t="s">
        <v>7940</v>
      </c>
      <c r="Y152" t="s">
        <v>7941</v>
      </c>
      <c r="Z152" t="s">
        <v>74</v>
      </c>
      <c r="AA152" t="s">
        <v>74</v>
      </c>
      <c r="AB152" t="s">
        <v>74</v>
      </c>
      <c r="AC152" t="s">
        <v>74</v>
      </c>
      <c r="AD152" t="s">
        <v>74</v>
      </c>
      <c r="AE152" t="s">
        <v>74</v>
      </c>
      <c r="AF152" t="s">
        <v>74</v>
      </c>
      <c r="AG152">
        <v>42</v>
      </c>
      <c r="AH152">
        <v>44</v>
      </c>
      <c r="AI152">
        <v>45</v>
      </c>
      <c r="AJ152">
        <v>0</v>
      </c>
      <c r="AK152">
        <v>2</v>
      </c>
      <c r="AL152" t="s">
        <v>74</v>
      </c>
      <c r="AM152" t="s">
        <v>74</v>
      </c>
      <c r="AN152" t="s">
        <v>74</v>
      </c>
      <c r="AO152" t="s">
        <v>7942</v>
      </c>
      <c r="AP152" t="s">
        <v>74</v>
      </c>
      <c r="AQ152" t="s">
        <v>74</v>
      </c>
      <c r="AR152" t="s">
        <v>74</v>
      </c>
      <c r="AS152" t="s">
        <v>74</v>
      </c>
      <c r="AT152" t="s">
        <v>5314</v>
      </c>
      <c r="AU152">
        <v>1999</v>
      </c>
      <c r="AV152">
        <v>211</v>
      </c>
      <c r="AW152">
        <v>1</v>
      </c>
      <c r="AX152" t="s">
        <v>74</v>
      </c>
      <c r="AY152" t="s">
        <v>74</v>
      </c>
      <c r="AZ152" t="s">
        <v>74</v>
      </c>
      <c r="BA152" t="s">
        <v>74</v>
      </c>
      <c r="BB152">
        <v>77</v>
      </c>
      <c r="BC152">
        <v>87</v>
      </c>
      <c r="BD152" t="s">
        <v>74</v>
      </c>
      <c r="BE152" t="s">
        <v>7943</v>
      </c>
      <c r="BF152" t="str">
        <f>HYPERLINK("http://dx.doi.org/10.1006/dbio.1999.9283","http://dx.doi.org/10.1006/dbio.1999.9283")</f>
        <v>http://dx.doi.org/10.1006/dbio.1999.9283</v>
      </c>
      <c r="BG152" t="s">
        <v>74</v>
      </c>
      <c r="BH152" t="s">
        <v>74</v>
      </c>
      <c r="BI152" t="s">
        <v>74</v>
      </c>
      <c r="BJ152" t="s">
        <v>7944</v>
      </c>
      <c r="BK152" t="s">
        <v>112</v>
      </c>
      <c r="BL152" t="s">
        <v>7944</v>
      </c>
      <c r="BM152" t="s">
        <v>74</v>
      </c>
      <c r="BN152">
        <v>10373306</v>
      </c>
      <c r="BO152" t="s">
        <v>74</v>
      </c>
      <c r="BP152" t="s">
        <v>74</v>
      </c>
      <c r="BQ152" t="s">
        <v>74</v>
      </c>
      <c r="BR152" t="s">
        <v>93</v>
      </c>
      <c r="BS152" t="s">
        <v>7945</v>
      </c>
      <c r="BT152" t="str">
        <f>HYPERLINK("https%3A%2F%2Fwww.webofscience.com%2Fwos%2Fwoscc%2Ffull-record%2FWOS:000081269200007","View Full Record in Web of Science")</f>
        <v>View Full Record in Web of Science</v>
      </c>
    </row>
    <row r="153" spans="1:72" x14ac:dyDescent="0.15">
      <c r="A153" t="s">
        <v>72</v>
      </c>
      <c r="B153" t="s">
        <v>9353</v>
      </c>
      <c r="C153" t="s">
        <v>74</v>
      </c>
      <c r="D153" t="s">
        <v>74</v>
      </c>
      <c r="E153" t="s">
        <v>74</v>
      </c>
      <c r="F153" t="s">
        <v>9353</v>
      </c>
      <c r="G153" t="s">
        <v>74</v>
      </c>
      <c r="H153" t="s">
        <v>74</v>
      </c>
      <c r="I153" t="s">
        <v>9354</v>
      </c>
      <c r="J153" t="s">
        <v>9355</v>
      </c>
      <c r="K153" t="s">
        <v>74</v>
      </c>
      <c r="L153" t="s">
        <v>74</v>
      </c>
      <c r="M153" t="s">
        <v>74</v>
      </c>
      <c r="N153" t="s">
        <v>78</v>
      </c>
      <c r="O153" t="s">
        <v>74</v>
      </c>
      <c r="P153" t="s">
        <v>74</v>
      </c>
      <c r="Q153" t="s">
        <v>74</v>
      </c>
      <c r="R153" t="s">
        <v>74</v>
      </c>
      <c r="S153" t="s">
        <v>74</v>
      </c>
      <c r="T153" t="s">
        <v>74</v>
      </c>
      <c r="U153" t="s">
        <v>9356</v>
      </c>
      <c r="V153" t="s">
        <v>9357</v>
      </c>
      <c r="W153" t="s">
        <v>9358</v>
      </c>
      <c r="X153" t="s">
        <v>9359</v>
      </c>
      <c r="Y153" t="s">
        <v>9360</v>
      </c>
      <c r="Z153" t="s">
        <v>9361</v>
      </c>
      <c r="AA153" t="s">
        <v>9362</v>
      </c>
      <c r="AB153" t="s">
        <v>9363</v>
      </c>
      <c r="AC153" t="s">
        <v>74</v>
      </c>
      <c r="AD153" t="s">
        <v>74</v>
      </c>
      <c r="AE153" t="s">
        <v>74</v>
      </c>
      <c r="AF153" t="s">
        <v>74</v>
      </c>
      <c r="AG153">
        <v>49</v>
      </c>
      <c r="AH153">
        <v>44</v>
      </c>
      <c r="AI153">
        <v>47</v>
      </c>
      <c r="AJ153">
        <v>0</v>
      </c>
      <c r="AK153">
        <v>1</v>
      </c>
      <c r="AL153" t="s">
        <v>74</v>
      </c>
      <c r="AM153" t="s">
        <v>74</v>
      </c>
      <c r="AN153" t="s">
        <v>74</v>
      </c>
      <c r="AO153" t="s">
        <v>9364</v>
      </c>
      <c r="AP153" t="s">
        <v>9365</v>
      </c>
      <c r="AQ153" t="s">
        <v>74</v>
      </c>
      <c r="AR153" t="s">
        <v>74</v>
      </c>
      <c r="AS153" t="s">
        <v>74</v>
      </c>
      <c r="AT153" t="s">
        <v>640</v>
      </c>
      <c r="AU153">
        <v>2005</v>
      </c>
      <c r="AV153">
        <v>7</v>
      </c>
      <c r="AW153">
        <v>2</v>
      </c>
      <c r="AX153" t="s">
        <v>74</v>
      </c>
      <c r="AY153" t="s">
        <v>74</v>
      </c>
      <c r="AZ153" t="s">
        <v>74</v>
      </c>
      <c r="BA153" t="s">
        <v>74</v>
      </c>
      <c r="BB153">
        <v>221</v>
      </c>
      <c r="BC153">
        <v>232</v>
      </c>
      <c r="BD153" t="s">
        <v>74</v>
      </c>
      <c r="BE153" t="s">
        <v>9366</v>
      </c>
      <c r="BF153" t="str">
        <f>HYPERLINK("http://dx.doi.org/10.1111/j.1462-5822.2004.00453.x","http://dx.doi.org/10.1111/j.1462-5822.2004.00453.x")</f>
        <v>http://dx.doi.org/10.1111/j.1462-5822.2004.00453.x</v>
      </c>
      <c r="BG153" t="s">
        <v>74</v>
      </c>
      <c r="BH153" t="s">
        <v>74</v>
      </c>
      <c r="BI153" t="s">
        <v>74</v>
      </c>
      <c r="BJ153" t="s">
        <v>9367</v>
      </c>
      <c r="BK153" t="s">
        <v>112</v>
      </c>
      <c r="BL153" t="s">
        <v>9367</v>
      </c>
      <c r="BM153" t="s">
        <v>74</v>
      </c>
      <c r="BN153">
        <v>15659066</v>
      </c>
      <c r="BO153" t="s">
        <v>74</v>
      </c>
      <c r="BP153" t="s">
        <v>74</v>
      </c>
      <c r="BQ153" t="s">
        <v>74</v>
      </c>
      <c r="BR153" t="s">
        <v>93</v>
      </c>
      <c r="BS153" t="s">
        <v>9368</v>
      </c>
      <c r="BT153" t="str">
        <f>HYPERLINK("https%3A%2F%2Fwww.webofscience.com%2Fwos%2Fwoscc%2Ffull-record%2FWOS:000226475200007","View Full Record in Web of Science")</f>
        <v>View Full Record in Web of Science</v>
      </c>
    </row>
    <row r="154" spans="1:72" x14ac:dyDescent="0.15">
      <c r="A154" t="s">
        <v>72</v>
      </c>
      <c r="B154" t="s">
        <v>9547</v>
      </c>
      <c r="C154" t="s">
        <v>74</v>
      </c>
      <c r="D154" t="s">
        <v>74</v>
      </c>
      <c r="E154" t="s">
        <v>74</v>
      </c>
      <c r="F154" t="s">
        <v>9548</v>
      </c>
      <c r="G154" t="s">
        <v>74</v>
      </c>
      <c r="H154" t="s">
        <v>74</v>
      </c>
      <c r="I154" t="s">
        <v>9549</v>
      </c>
      <c r="J154" t="s">
        <v>9550</v>
      </c>
      <c r="K154" t="s">
        <v>74</v>
      </c>
      <c r="L154" t="s">
        <v>74</v>
      </c>
      <c r="M154" t="s">
        <v>74</v>
      </c>
      <c r="N154" t="s">
        <v>78</v>
      </c>
      <c r="O154" t="s">
        <v>74</v>
      </c>
      <c r="P154" t="s">
        <v>74</v>
      </c>
      <c r="Q154" t="s">
        <v>74</v>
      </c>
      <c r="R154" t="s">
        <v>74</v>
      </c>
      <c r="S154" t="s">
        <v>74</v>
      </c>
      <c r="T154" t="s">
        <v>9551</v>
      </c>
      <c r="U154" t="s">
        <v>9552</v>
      </c>
      <c r="V154" t="s">
        <v>9553</v>
      </c>
      <c r="W154" t="s">
        <v>9554</v>
      </c>
      <c r="X154" t="s">
        <v>9555</v>
      </c>
      <c r="Y154" t="s">
        <v>9556</v>
      </c>
      <c r="Z154" t="s">
        <v>9557</v>
      </c>
      <c r="AA154" t="s">
        <v>9558</v>
      </c>
      <c r="AB154" t="s">
        <v>9559</v>
      </c>
      <c r="AC154" t="s">
        <v>74</v>
      </c>
      <c r="AD154" t="s">
        <v>74</v>
      </c>
      <c r="AE154" t="s">
        <v>74</v>
      </c>
      <c r="AF154" t="s">
        <v>74</v>
      </c>
      <c r="AG154">
        <v>184</v>
      </c>
      <c r="AH154">
        <v>44</v>
      </c>
      <c r="AI154">
        <v>46</v>
      </c>
      <c r="AJ154">
        <v>1</v>
      </c>
      <c r="AK154">
        <v>47</v>
      </c>
      <c r="AL154" t="s">
        <v>74</v>
      </c>
      <c r="AM154" t="s">
        <v>74</v>
      </c>
      <c r="AN154" t="s">
        <v>74</v>
      </c>
      <c r="AO154" t="s">
        <v>9560</v>
      </c>
      <c r="AP154" t="s">
        <v>9561</v>
      </c>
      <c r="AQ154" t="s">
        <v>74</v>
      </c>
      <c r="AR154" t="s">
        <v>74</v>
      </c>
      <c r="AS154" t="s">
        <v>74</v>
      </c>
      <c r="AT154" t="s">
        <v>437</v>
      </c>
      <c r="AU154">
        <v>2018</v>
      </c>
      <c r="AV154">
        <v>53</v>
      </c>
      <c r="AW154">
        <v>4</v>
      </c>
      <c r="AX154" t="s">
        <v>74</v>
      </c>
      <c r="AY154" t="s">
        <v>74</v>
      </c>
      <c r="AZ154" t="s">
        <v>74</v>
      </c>
      <c r="BA154" t="s">
        <v>74</v>
      </c>
      <c r="BB154">
        <v>1395</v>
      </c>
      <c r="BC154">
        <v>1434</v>
      </c>
      <c r="BD154" t="s">
        <v>74</v>
      </c>
      <c r="BE154" t="s">
        <v>9562</v>
      </c>
      <c r="BF154" t="str">
        <f>HYPERLINK("http://dx.doi.org/10.3892/ijo.2018.4516","http://dx.doi.org/10.3892/ijo.2018.4516")</f>
        <v>http://dx.doi.org/10.3892/ijo.2018.4516</v>
      </c>
      <c r="BG154" t="s">
        <v>74</v>
      </c>
      <c r="BH154" t="s">
        <v>74</v>
      </c>
      <c r="BI154" t="s">
        <v>74</v>
      </c>
      <c r="BJ154" t="s">
        <v>146</v>
      </c>
      <c r="BK154" t="s">
        <v>112</v>
      </c>
      <c r="BL154" t="s">
        <v>146</v>
      </c>
      <c r="BM154" t="s">
        <v>74</v>
      </c>
      <c r="BN154">
        <v>30085333</v>
      </c>
      <c r="BO154" t="s">
        <v>74</v>
      </c>
      <c r="BP154" t="s">
        <v>74</v>
      </c>
      <c r="BQ154" t="s">
        <v>74</v>
      </c>
      <c r="BR154" t="s">
        <v>93</v>
      </c>
      <c r="BS154" t="s">
        <v>9563</v>
      </c>
      <c r="BT154" t="str">
        <f>HYPERLINK("https%3A%2F%2Fwww.webofscience.com%2Fwos%2Fwoscc%2Ffull-record%2FWOS:000442971100001","View Full Record in Web of Science")</f>
        <v>View Full Record in Web of Science</v>
      </c>
    </row>
    <row r="155" spans="1:72" x14ac:dyDescent="0.15">
      <c r="A155" t="s">
        <v>72</v>
      </c>
      <c r="B155" t="s">
        <v>6582</v>
      </c>
      <c r="C155" t="s">
        <v>74</v>
      </c>
      <c r="D155" t="s">
        <v>74</v>
      </c>
      <c r="E155" t="s">
        <v>74</v>
      </c>
      <c r="F155" t="s">
        <v>6583</v>
      </c>
      <c r="G155" t="s">
        <v>74</v>
      </c>
      <c r="H155" t="s">
        <v>74</v>
      </c>
      <c r="I155" t="s">
        <v>6584</v>
      </c>
      <c r="J155" t="s">
        <v>6585</v>
      </c>
      <c r="K155" t="s">
        <v>74</v>
      </c>
      <c r="L155" t="s">
        <v>74</v>
      </c>
      <c r="M155" t="s">
        <v>74</v>
      </c>
      <c r="N155" t="s">
        <v>78</v>
      </c>
      <c r="O155" t="s">
        <v>74</v>
      </c>
      <c r="P155" t="s">
        <v>74</v>
      </c>
      <c r="Q155" t="s">
        <v>74</v>
      </c>
      <c r="R155" t="s">
        <v>74</v>
      </c>
      <c r="S155" t="s">
        <v>74</v>
      </c>
      <c r="T155" t="s">
        <v>6586</v>
      </c>
      <c r="U155" t="s">
        <v>6587</v>
      </c>
      <c r="V155" t="s">
        <v>6588</v>
      </c>
      <c r="W155" t="s">
        <v>6589</v>
      </c>
      <c r="X155" t="s">
        <v>6590</v>
      </c>
      <c r="Y155" t="s">
        <v>6591</v>
      </c>
      <c r="Z155" t="s">
        <v>6592</v>
      </c>
      <c r="AA155" t="s">
        <v>6593</v>
      </c>
      <c r="AB155" t="s">
        <v>6594</v>
      </c>
      <c r="AC155" t="s">
        <v>74</v>
      </c>
      <c r="AD155" t="s">
        <v>74</v>
      </c>
      <c r="AE155" t="s">
        <v>74</v>
      </c>
      <c r="AF155" t="s">
        <v>74</v>
      </c>
      <c r="AG155">
        <v>33</v>
      </c>
      <c r="AH155">
        <v>43</v>
      </c>
      <c r="AI155">
        <v>46</v>
      </c>
      <c r="AJ155">
        <v>1</v>
      </c>
      <c r="AK155">
        <v>12</v>
      </c>
      <c r="AL155" t="s">
        <v>74</v>
      </c>
      <c r="AM155" t="s">
        <v>74</v>
      </c>
      <c r="AN155" t="s">
        <v>74</v>
      </c>
      <c r="AO155" t="s">
        <v>6595</v>
      </c>
      <c r="AP155" t="s">
        <v>74</v>
      </c>
      <c r="AQ155" t="s">
        <v>74</v>
      </c>
      <c r="AR155" t="s">
        <v>74</v>
      </c>
      <c r="AS155" t="s">
        <v>74</v>
      </c>
      <c r="AT155" t="s">
        <v>74</v>
      </c>
      <c r="AU155">
        <v>2017</v>
      </c>
      <c r="AV155">
        <v>9</v>
      </c>
      <c r="AW155">
        <v>4</v>
      </c>
      <c r="AX155" t="s">
        <v>74</v>
      </c>
      <c r="AY155" t="s">
        <v>74</v>
      </c>
      <c r="AZ155" t="s">
        <v>74</v>
      </c>
      <c r="BA155" t="s">
        <v>74</v>
      </c>
      <c r="BB155">
        <v>1543</v>
      </c>
      <c r="BC155">
        <v>1560</v>
      </c>
      <c r="BD155" t="s">
        <v>74</v>
      </c>
      <c r="BE155" t="s">
        <v>74</v>
      </c>
      <c r="BF155" t="s">
        <v>74</v>
      </c>
      <c r="BG155" t="s">
        <v>74</v>
      </c>
      <c r="BH155" t="s">
        <v>74</v>
      </c>
      <c r="BI155" t="s">
        <v>74</v>
      </c>
      <c r="BJ155" t="s">
        <v>3565</v>
      </c>
      <c r="BK155" t="s">
        <v>112</v>
      </c>
      <c r="BL155" t="s">
        <v>3566</v>
      </c>
      <c r="BM155" t="s">
        <v>74</v>
      </c>
      <c r="BN155">
        <v>28469765</v>
      </c>
      <c r="BO155" t="s">
        <v>74</v>
      </c>
      <c r="BP155" t="s">
        <v>74</v>
      </c>
      <c r="BQ155" t="s">
        <v>74</v>
      </c>
      <c r="BR155" t="s">
        <v>93</v>
      </c>
      <c r="BS155" t="s">
        <v>6596</v>
      </c>
      <c r="BT155" t="str">
        <f>HYPERLINK("https%3A%2F%2Fwww.webofscience.com%2Fwos%2Fwoscc%2Ffull-record%2FWOS:000400487800001","View Full Record in Web of Science")</f>
        <v>View Full Record in Web of Science</v>
      </c>
    </row>
    <row r="156" spans="1:72" x14ac:dyDescent="0.15">
      <c r="A156" t="s">
        <v>72</v>
      </c>
      <c r="B156" t="s">
        <v>10251</v>
      </c>
      <c r="C156" t="s">
        <v>74</v>
      </c>
      <c r="D156" t="s">
        <v>74</v>
      </c>
      <c r="E156" t="s">
        <v>74</v>
      </c>
      <c r="F156" t="s">
        <v>10252</v>
      </c>
      <c r="G156" t="s">
        <v>74</v>
      </c>
      <c r="H156" t="s">
        <v>74</v>
      </c>
      <c r="I156" t="s">
        <v>10253</v>
      </c>
      <c r="J156" t="s">
        <v>10254</v>
      </c>
      <c r="K156" t="s">
        <v>74</v>
      </c>
      <c r="L156" t="s">
        <v>74</v>
      </c>
      <c r="M156" t="s">
        <v>74</v>
      </c>
      <c r="N156" t="s">
        <v>78</v>
      </c>
      <c r="O156" t="s">
        <v>74</v>
      </c>
      <c r="P156" t="s">
        <v>74</v>
      </c>
      <c r="Q156" t="s">
        <v>74</v>
      </c>
      <c r="R156" t="s">
        <v>74</v>
      </c>
      <c r="S156" t="s">
        <v>74</v>
      </c>
      <c r="T156" t="s">
        <v>74</v>
      </c>
      <c r="U156" t="s">
        <v>10255</v>
      </c>
      <c r="V156" t="s">
        <v>10256</v>
      </c>
      <c r="W156" t="s">
        <v>10257</v>
      </c>
      <c r="X156" t="s">
        <v>10258</v>
      </c>
      <c r="Y156" t="s">
        <v>10259</v>
      </c>
      <c r="Z156" t="s">
        <v>10260</v>
      </c>
      <c r="AA156" t="s">
        <v>10261</v>
      </c>
      <c r="AB156" t="s">
        <v>10262</v>
      </c>
      <c r="AC156" t="s">
        <v>74</v>
      </c>
      <c r="AD156" t="s">
        <v>74</v>
      </c>
      <c r="AE156" t="s">
        <v>74</v>
      </c>
      <c r="AF156" t="s">
        <v>74</v>
      </c>
      <c r="AG156">
        <v>63</v>
      </c>
      <c r="AH156">
        <v>43</v>
      </c>
      <c r="AI156">
        <v>46</v>
      </c>
      <c r="AJ156">
        <v>0</v>
      </c>
      <c r="AK156">
        <v>32</v>
      </c>
      <c r="AL156" t="s">
        <v>74</v>
      </c>
      <c r="AM156" t="s">
        <v>74</v>
      </c>
      <c r="AN156" t="s">
        <v>74</v>
      </c>
      <c r="AO156" t="s">
        <v>10263</v>
      </c>
      <c r="AP156" t="s">
        <v>10264</v>
      </c>
      <c r="AQ156" t="s">
        <v>74</v>
      </c>
      <c r="AR156" t="s">
        <v>74</v>
      </c>
      <c r="AS156" t="s">
        <v>74</v>
      </c>
      <c r="AT156" t="s">
        <v>640</v>
      </c>
      <c r="AU156">
        <v>2014</v>
      </c>
      <c r="AV156">
        <v>26</v>
      </c>
      <c r="AW156">
        <v>2</v>
      </c>
      <c r="AX156" t="s">
        <v>74</v>
      </c>
      <c r="AY156" t="s">
        <v>74</v>
      </c>
      <c r="AZ156" t="s">
        <v>74</v>
      </c>
      <c r="BA156" t="s">
        <v>74</v>
      </c>
      <c r="BB156">
        <v>636</v>
      </c>
      <c r="BC156">
        <v>649</v>
      </c>
      <c r="BD156" t="s">
        <v>74</v>
      </c>
      <c r="BE156" t="s">
        <v>10265</v>
      </c>
      <c r="BF156" t="str">
        <f>HYPERLINK("http://dx.doi.org/10.1105/tpc.113.121350","http://dx.doi.org/10.1105/tpc.113.121350")</f>
        <v>http://dx.doi.org/10.1105/tpc.113.121350</v>
      </c>
      <c r="BG156" t="s">
        <v>74</v>
      </c>
      <c r="BH156" t="s">
        <v>74</v>
      </c>
      <c r="BI156" t="s">
        <v>74</v>
      </c>
      <c r="BJ156" t="s">
        <v>10266</v>
      </c>
      <c r="BK156" t="s">
        <v>112</v>
      </c>
      <c r="BL156" t="s">
        <v>10266</v>
      </c>
      <c r="BM156" t="s">
        <v>74</v>
      </c>
      <c r="BN156">
        <v>24569769</v>
      </c>
      <c r="BO156" t="s">
        <v>74</v>
      </c>
      <c r="BP156" t="s">
        <v>74</v>
      </c>
      <c r="BQ156" t="s">
        <v>74</v>
      </c>
      <c r="BR156" t="s">
        <v>93</v>
      </c>
      <c r="BS156" t="s">
        <v>10267</v>
      </c>
      <c r="BT156" t="str">
        <f>HYPERLINK("https%3A%2F%2Fwww.webofscience.com%2Fwos%2Fwoscc%2Ffull-record%2FWOS:000333688300011","View Full Record in Web of Science")</f>
        <v>View Full Record in Web of Science</v>
      </c>
    </row>
    <row r="157" spans="1:72" x14ac:dyDescent="0.15">
      <c r="A157" t="s">
        <v>72</v>
      </c>
      <c r="B157" t="s">
        <v>5211</v>
      </c>
      <c r="C157" t="s">
        <v>74</v>
      </c>
      <c r="D157" t="s">
        <v>74</v>
      </c>
      <c r="E157" t="s">
        <v>74</v>
      </c>
      <c r="F157" t="s">
        <v>5212</v>
      </c>
      <c r="G157" t="s">
        <v>74</v>
      </c>
      <c r="H157" t="s">
        <v>74</v>
      </c>
      <c r="I157" t="s">
        <v>5213</v>
      </c>
      <c r="J157" t="s">
        <v>151</v>
      </c>
      <c r="K157" t="s">
        <v>74</v>
      </c>
      <c r="L157" t="s">
        <v>74</v>
      </c>
      <c r="M157" t="s">
        <v>74</v>
      </c>
      <c r="N157" t="s">
        <v>78</v>
      </c>
      <c r="O157" t="s">
        <v>74</v>
      </c>
      <c r="P157" t="s">
        <v>74</v>
      </c>
      <c r="Q157" t="s">
        <v>74</v>
      </c>
      <c r="R157" t="s">
        <v>74</v>
      </c>
      <c r="S157" t="s">
        <v>74</v>
      </c>
      <c r="T157" t="s">
        <v>5214</v>
      </c>
      <c r="U157" t="s">
        <v>5215</v>
      </c>
      <c r="V157" t="s">
        <v>5216</v>
      </c>
      <c r="W157" t="s">
        <v>5217</v>
      </c>
      <c r="X157" t="s">
        <v>5218</v>
      </c>
      <c r="Y157" t="s">
        <v>5219</v>
      </c>
      <c r="Z157" t="s">
        <v>5220</v>
      </c>
      <c r="AA157" t="s">
        <v>5221</v>
      </c>
      <c r="AB157" t="s">
        <v>5222</v>
      </c>
      <c r="AC157" t="s">
        <v>74</v>
      </c>
      <c r="AD157" t="s">
        <v>74</v>
      </c>
      <c r="AE157" t="s">
        <v>74</v>
      </c>
      <c r="AF157" t="s">
        <v>74</v>
      </c>
      <c r="AG157">
        <v>45</v>
      </c>
      <c r="AH157">
        <v>42</v>
      </c>
      <c r="AI157">
        <v>45</v>
      </c>
      <c r="AJ157">
        <v>0</v>
      </c>
      <c r="AK157">
        <v>3</v>
      </c>
      <c r="AL157" t="s">
        <v>74</v>
      </c>
      <c r="AM157" t="s">
        <v>74</v>
      </c>
      <c r="AN157" t="s">
        <v>74</v>
      </c>
      <c r="AO157" t="s">
        <v>74</v>
      </c>
      <c r="AP157" t="s">
        <v>160</v>
      </c>
      <c r="AQ157" t="s">
        <v>74</v>
      </c>
      <c r="AR157" t="s">
        <v>74</v>
      </c>
      <c r="AS157" t="s">
        <v>74</v>
      </c>
      <c r="AT157" t="s">
        <v>743</v>
      </c>
      <c r="AU157">
        <v>2014</v>
      </c>
      <c r="AV157">
        <v>6</v>
      </c>
      <c r="AW157">
        <v>1</v>
      </c>
      <c r="AX157" t="s">
        <v>74</v>
      </c>
      <c r="AY157" t="s">
        <v>74</v>
      </c>
      <c r="AZ157" t="s">
        <v>74</v>
      </c>
      <c r="BA157" t="s">
        <v>74</v>
      </c>
      <c r="BB157">
        <v>179</v>
      </c>
      <c r="BC157">
        <v>192</v>
      </c>
      <c r="BD157" t="s">
        <v>74</v>
      </c>
      <c r="BE157" t="s">
        <v>5223</v>
      </c>
      <c r="BF157" t="str">
        <f>HYPERLINK("http://dx.doi.org/10.3390/cancers6010179","http://dx.doi.org/10.3390/cancers6010179")</f>
        <v>http://dx.doi.org/10.3390/cancers6010179</v>
      </c>
      <c r="BG157" t="s">
        <v>74</v>
      </c>
      <c r="BH157" t="s">
        <v>74</v>
      </c>
      <c r="BI157" t="s">
        <v>74</v>
      </c>
      <c r="BJ157" t="s">
        <v>146</v>
      </c>
      <c r="BK157" t="s">
        <v>112</v>
      </c>
      <c r="BL157" t="s">
        <v>146</v>
      </c>
      <c r="BM157" t="s">
        <v>74</v>
      </c>
      <c r="BN157">
        <v>24458310</v>
      </c>
      <c r="BO157" t="s">
        <v>74</v>
      </c>
      <c r="BP157" t="s">
        <v>74</v>
      </c>
      <c r="BQ157" t="s">
        <v>74</v>
      </c>
      <c r="BR157" t="s">
        <v>93</v>
      </c>
      <c r="BS157" t="s">
        <v>5224</v>
      </c>
      <c r="BT157" t="str">
        <f>HYPERLINK("https%3A%2F%2Fwww.webofscience.com%2Fwos%2Fwoscc%2Ffull-record%2FWOS:000209950500011","View Full Record in Web of Science")</f>
        <v>View Full Record in Web of Science</v>
      </c>
    </row>
    <row r="158" spans="1:72" x14ac:dyDescent="0.15">
      <c r="A158" t="s">
        <v>72</v>
      </c>
      <c r="B158" t="s">
        <v>5507</v>
      </c>
      <c r="C158" t="s">
        <v>74</v>
      </c>
      <c r="D158" t="s">
        <v>74</v>
      </c>
      <c r="E158" t="s">
        <v>74</v>
      </c>
      <c r="F158" t="s">
        <v>5508</v>
      </c>
      <c r="G158" t="s">
        <v>74</v>
      </c>
      <c r="H158" t="s">
        <v>74</v>
      </c>
      <c r="I158" t="s">
        <v>5509</v>
      </c>
      <c r="J158" t="s">
        <v>3571</v>
      </c>
      <c r="K158" t="s">
        <v>74</v>
      </c>
      <c r="L158" t="s">
        <v>74</v>
      </c>
      <c r="M158" t="s">
        <v>74</v>
      </c>
      <c r="N158" t="s">
        <v>78</v>
      </c>
      <c r="O158" t="s">
        <v>74</v>
      </c>
      <c r="P158" t="s">
        <v>74</v>
      </c>
      <c r="Q158" t="s">
        <v>74</v>
      </c>
      <c r="R158" t="s">
        <v>74</v>
      </c>
      <c r="S158" t="s">
        <v>74</v>
      </c>
      <c r="T158" t="s">
        <v>5510</v>
      </c>
      <c r="U158" t="s">
        <v>5511</v>
      </c>
      <c r="V158" t="s">
        <v>5512</v>
      </c>
      <c r="W158" t="s">
        <v>5513</v>
      </c>
      <c r="X158" t="s">
        <v>2133</v>
      </c>
      <c r="Y158" t="s">
        <v>5514</v>
      </c>
      <c r="Z158" t="s">
        <v>5515</v>
      </c>
      <c r="AA158" t="s">
        <v>1145</v>
      </c>
      <c r="AB158" t="s">
        <v>1146</v>
      </c>
      <c r="AC158" t="s">
        <v>74</v>
      </c>
      <c r="AD158" t="s">
        <v>74</v>
      </c>
      <c r="AE158" t="s">
        <v>74</v>
      </c>
      <c r="AF158" t="s">
        <v>74</v>
      </c>
      <c r="AG158">
        <v>31</v>
      </c>
      <c r="AH158">
        <v>42</v>
      </c>
      <c r="AI158">
        <v>42</v>
      </c>
      <c r="AJ158">
        <v>25</v>
      </c>
      <c r="AK158">
        <v>286</v>
      </c>
      <c r="AL158" t="s">
        <v>74</v>
      </c>
      <c r="AM158" t="s">
        <v>74</v>
      </c>
      <c r="AN158" t="s">
        <v>74</v>
      </c>
      <c r="AO158" t="s">
        <v>3579</v>
      </c>
      <c r="AP158" t="s">
        <v>74</v>
      </c>
      <c r="AQ158" t="s">
        <v>74</v>
      </c>
      <c r="AR158" t="s">
        <v>74</v>
      </c>
      <c r="AS158" t="s">
        <v>74</v>
      </c>
      <c r="AT158" t="s">
        <v>144</v>
      </c>
      <c r="AU158">
        <v>2018</v>
      </c>
      <c r="AV158">
        <v>276</v>
      </c>
      <c r="AW158" t="s">
        <v>74</v>
      </c>
      <c r="AX158" t="s">
        <v>74</v>
      </c>
      <c r="AY158" t="s">
        <v>74</v>
      </c>
      <c r="AZ158" t="s">
        <v>74</v>
      </c>
      <c r="BA158" t="s">
        <v>74</v>
      </c>
      <c r="BB158">
        <v>552</v>
      </c>
      <c r="BC158">
        <v>559</v>
      </c>
      <c r="BD158" t="s">
        <v>74</v>
      </c>
      <c r="BE158" t="s">
        <v>5516</v>
      </c>
      <c r="BF158" t="str">
        <f>HYPERLINK("http://dx.doi.org/10.1016/j.snb.2018.08.056","http://dx.doi.org/10.1016/j.snb.2018.08.056")</f>
        <v>http://dx.doi.org/10.1016/j.snb.2018.08.056</v>
      </c>
      <c r="BG158" t="s">
        <v>74</v>
      </c>
      <c r="BH158" t="s">
        <v>74</v>
      </c>
      <c r="BI158" t="s">
        <v>74</v>
      </c>
      <c r="BJ158" t="s">
        <v>3582</v>
      </c>
      <c r="BK158" t="s">
        <v>112</v>
      </c>
      <c r="BL158" t="s">
        <v>3583</v>
      </c>
      <c r="BM158" t="s">
        <v>74</v>
      </c>
      <c r="BN158" t="s">
        <v>74</v>
      </c>
      <c r="BO158" t="s">
        <v>74</v>
      </c>
      <c r="BP158" t="s">
        <v>74</v>
      </c>
      <c r="BQ158" t="s">
        <v>74</v>
      </c>
      <c r="BR158" t="s">
        <v>93</v>
      </c>
      <c r="BS158" t="s">
        <v>5517</v>
      </c>
      <c r="BT158" t="str">
        <f>HYPERLINK("https%3A%2F%2Fwww.webofscience.com%2Fwos%2Fwoscc%2Ffull-record%2FWOS:000444637600069","View Full Record in Web of Science")</f>
        <v>View Full Record in Web of Science</v>
      </c>
    </row>
    <row r="159" spans="1:72" x14ac:dyDescent="0.15">
      <c r="A159" t="s">
        <v>72</v>
      </c>
      <c r="B159" t="s">
        <v>221</v>
      </c>
      <c r="C159" t="s">
        <v>74</v>
      </c>
      <c r="D159" t="s">
        <v>74</v>
      </c>
      <c r="E159" t="s">
        <v>74</v>
      </c>
      <c r="F159" t="s">
        <v>222</v>
      </c>
      <c r="G159" t="s">
        <v>74</v>
      </c>
      <c r="H159" t="s">
        <v>74</v>
      </c>
      <c r="I159" t="s">
        <v>223</v>
      </c>
      <c r="J159" t="s">
        <v>224</v>
      </c>
      <c r="K159" t="s">
        <v>74</v>
      </c>
      <c r="L159" t="s">
        <v>74</v>
      </c>
      <c r="M159" t="s">
        <v>74</v>
      </c>
      <c r="N159" t="s">
        <v>78</v>
      </c>
      <c r="O159" t="s">
        <v>74</v>
      </c>
      <c r="P159" t="s">
        <v>74</v>
      </c>
      <c r="Q159" t="s">
        <v>74</v>
      </c>
      <c r="R159" t="s">
        <v>74</v>
      </c>
      <c r="S159" t="s">
        <v>74</v>
      </c>
      <c r="T159" t="s">
        <v>225</v>
      </c>
      <c r="U159" t="s">
        <v>226</v>
      </c>
      <c r="V159" t="s">
        <v>227</v>
      </c>
      <c r="W159" t="s">
        <v>228</v>
      </c>
      <c r="X159" t="s">
        <v>229</v>
      </c>
      <c r="Y159" t="s">
        <v>230</v>
      </c>
      <c r="Z159" t="s">
        <v>231</v>
      </c>
      <c r="AA159" t="s">
        <v>232</v>
      </c>
      <c r="AB159" t="s">
        <v>233</v>
      </c>
      <c r="AC159" t="s">
        <v>74</v>
      </c>
      <c r="AD159" t="s">
        <v>74</v>
      </c>
      <c r="AE159" t="s">
        <v>74</v>
      </c>
      <c r="AF159" t="s">
        <v>74</v>
      </c>
      <c r="AG159">
        <v>57</v>
      </c>
      <c r="AH159">
        <v>41</v>
      </c>
      <c r="AI159">
        <v>43</v>
      </c>
      <c r="AJ159">
        <v>0</v>
      </c>
      <c r="AK159">
        <v>15</v>
      </c>
      <c r="AL159" t="s">
        <v>74</v>
      </c>
      <c r="AM159" t="s">
        <v>74</v>
      </c>
      <c r="AN159" t="s">
        <v>74</v>
      </c>
      <c r="AO159" t="s">
        <v>234</v>
      </c>
      <c r="AP159" t="s">
        <v>235</v>
      </c>
      <c r="AQ159" t="s">
        <v>74</v>
      </c>
      <c r="AR159" t="s">
        <v>74</v>
      </c>
      <c r="AS159" t="s">
        <v>74</v>
      </c>
      <c r="AT159" t="s">
        <v>236</v>
      </c>
      <c r="AU159">
        <v>2015</v>
      </c>
      <c r="AV159">
        <v>115</v>
      </c>
      <c r="AW159">
        <v>11</v>
      </c>
      <c r="AX159" t="s">
        <v>74</v>
      </c>
      <c r="AY159" t="s">
        <v>74</v>
      </c>
      <c r="AZ159" t="s">
        <v>74</v>
      </c>
      <c r="BA159" t="s">
        <v>74</v>
      </c>
      <c r="BB159">
        <v>2271</v>
      </c>
      <c r="BC159">
        <v>2280</v>
      </c>
      <c r="BD159" t="s">
        <v>74</v>
      </c>
      <c r="BE159" t="s">
        <v>237</v>
      </c>
      <c r="BF159" t="str">
        <f>HYPERLINK("http://dx.doi.org/10.1007/s00421-015-3207-8","http://dx.doi.org/10.1007/s00421-015-3207-8")</f>
        <v>http://dx.doi.org/10.1007/s00421-015-3207-8</v>
      </c>
      <c r="BG159" t="s">
        <v>74</v>
      </c>
      <c r="BH159" t="s">
        <v>74</v>
      </c>
      <c r="BI159" t="s">
        <v>74</v>
      </c>
      <c r="BJ159" t="s">
        <v>238</v>
      </c>
      <c r="BK159" t="s">
        <v>112</v>
      </c>
      <c r="BL159" t="s">
        <v>238</v>
      </c>
      <c r="BM159" t="s">
        <v>74</v>
      </c>
      <c r="BN159">
        <v>26126838</v>
      </c>
      <c r="BO159" t="s">
        <v>74</v>
      </c>
      <c r="BP159" t="s">
        <v>74</v>
      </c>
      <c r="BQ159" t="s">
        <v>74</v>
      </c>
      <c r="BR159" t="s">
        <v>93</v>
      </c>
      <c r="BS159" t="s">
        <v>239</v>
      </c>
      <c r="BT159" t="str">
        <f>HYPERLINK("https%3A%2F%2Fwww.webofscience.com%2Fwos%2Fwoscc%2Ffull-record%2FWOS:000363057400004","View Full Record in Web of Science")</f>
        <v>View Full Record in Web of Science</v>
      </c>
    </row>
    <row r="160" spans="1:72" x14ac:dyDescent="0.15">
      <c r="A160" t="s">
        <v>72</v>
      </c>
      <c r="B160" t="s">
        <v>1840</v>
      </c>
      <c r="C160" t="s">
        <v>74</v>
      </c>
      <c r="D160" t="s">
        <v>74</v>
      </c>
      <c r="E160" t="s">
        <v>74</v>
      </c>
      <c r="F160" t="s">
        <v>1841</v>
      </c>
      <c r="G160" t="s">
        <v>74</v>
      </c>
      <c r="H160" t="s">
        <v>74</v>
      </c>
      <c r="I160" t="s">
        <v>1842</v>
      </c>
      <c r="J160" t="s">
        <v>1843</v>
      </c>
      <c r="K160" t="s">
        <v>74</v>
      </c>
      <c r="L160" t="s">
        <v>74</v>
      </c>
      <c r="M160" t="s">
        <v>74</v>
      </c>
      <c r="N160" t="s">
        <v>78</v>
      </c>
      <c r="O160" t="s">
        <v>74</v>
      </c>
      <c r="P160" t="s">
        <v>74</v>
      </c>
      <c r="Q160" t="s">
        <v>74</v>
      </c>
      <c r="R160" t="s">
        <v>74</v>
      </c>
      <c r="S160" t="s">
        <v>74</v>
      </c>
      <c r="T160" t="s">
        <v>1844</v>
      </c>
      <c r="U160" t="s">
        <v>1845</v>
      </c>
      <c r="V160" t="s">
        <v>1846</v>
      </c>
      <c r="W160" t="s">
        <v>1847</v>
      </c>
      <c r="X160" t="s">
        <v>1469</v>
      </c>
      <c r="Y160" t="s">
        <v>1848</v>
      </c>
      <c r="Z160" t="s">
        <v>1849</v>
      </c>
      <c r="AA160" t="s">
        <v>74</v>
      </c>
      <c r="AB160" t="s">
        <v>74</v>
      </c>
      <c r="AC160" t="s">
        <v>74</v>
      </c>
      <c r="AD160" t="s">
        <v>74</v>
      </c>
      <c r="AE160" t="s">
        <v>74</v>
      </c>
      <c r="AF160" t="s">
        <v>74</v>
      </c>
      <c r="AG160">
        <v>105</v>
      </c>
      <c r="AH160">
        <v>41</v>
      </c>
      <c r="AI160">
        <v>42</v>
      </c>
      <c r="AJ160">
        <v>3</v>
      </c>
      <c r="AK160">
        <v>5</v>
      </c>
      <c r="AL160" t="s">
        <v>74</v>
      </c>
      <c r="AM160" t="s">
        <v>74</v>
      </c>
      <c r="AN160" t="s">
        <v>74</v>
      </c>
      <c r="AO160" t="s">
        <v>74</v>
      </c>
      <c r="AP160" t="s">
        <v>1850</v>
      </c>
      <c r="AQ160" t="s">
        <v>74</v>
      </c>
      <c r="AR160" t="s">
        <v>74</v>
      </c>
      <c r="AS160" t="s">
        <v>74</v>
      </c>
      <c r="AT160" t="s">
        <v>171</v>
      </c>
      <c r="AU160">
        <v>2018</v>
      </c>
      <c r="AV160">
        <v>6</v>
      </c>
      <c r="AW160">
        <v>4</v>
      </c>
      <c r="AX160" t="s">
        <v>74</v>
      </c>
      <c r="AY160" t="s">
        <v>74</v>
      </c>
      <c r="AZ160" t="s">
        <v>74</v>
      </c>
      <c r="BA160" t="s">
        <v>74</v>
      </c>
      <c r="BB160">
        <v>275</v>
      </c>
      <c r="BC160">
        <v>286</v>
      </c>
      <c r="BD160" t="s">
        <v>74</v>
      </c>
      <c r="BE160" t="s">
        <v>1851</v>
      </c>
      <c r="BF160" t="str">
        <f>HYPERLINK("http://dx.doi.org/10.1007/s40139-018-0180-z","http://dx.doi.org/10.1007/s40139-018-0180-z")</f>
        <v>http://dx.doi.org/10.1007/s40139-018-0180-z</v>
      </c>
      <c r="BG160" t="s">
        <v>74</v>
      </c>
      <c r="BH160" t="s">
        <v>74</v>
      </c>
      <c r="BI160" t="s">
        <v>74</v>
      </c>
      <c r="BJ160" t="s">
        <v>1852</v>
      </c>
      <c r="BK160" t="s">
        <v>91</v>
      </c>
      <c r="BL160" t="s">
        <v>1852</v>
      </c>
      <c r="BM160" t="s">
        <v>74</v>
      </c>
      <c r="BN160">
        <v>30595972</v>
      </c>
      <c r="BO160" t="s">
        <v>74</v>
      </c>
      <c r="BP160" t="s">
        <v>74</v>
      </c>
      <c r="BQ160" t="s">
        <v>74</v>
      </c>
      <c r="BR160" t="s">
        <v>93</v>
      </c>
      <c r="BS160" t="s">
        <v>1853</v>
      </c>
      <c r="BT160" t="str">
        <f>HYPERLINK("https%3A%2F%2Fwww.webofscience.com%2Fwos%2Fwoscc%2Ffull-record%2FWOS:000518472300009","View Full Record in Web of Science")</f>
        <v>View Full Record in Web of Science</v>
      </c>
    </row>
    <row r="161" spans="1:72" x14ac:dyDescent="0.15">
      <c r="A161" t="s">
        <v>72</v>
      </c>
      <c r="B161" t="s">
        <v>3531</v>
      </c>
      <c r="C161" t="s">
        <v>74</v>
      </c>
      <c r="D161" t="s">
        <v>74</v>
      </c>
      <c r="E161" t="s">
        <v>74</v>
      </c>
      <c r="F161" t="s">
        <v>3532</v>
      </c>
      <c r="G161" t="s">
        <v>74</v>
      </c>
      <c r="H161" t="s">
        <v>74</v>
      </c>
      <c r="I161" t="s">
        <v>3533</v>
      </c>
      <c r="J161" t="s">
        <v>3534</v>
      </c>
      <c r="K161" t="s">
        <v>74</v>
      </c>
      <c r="L161" t="s">
        <v>74</v>
      </c>
      <c r="M161" t="s">
        <v>74</v>
      </c>
      <c r="N161" t="s">
        <v>78</v>
      </c>
      <c r="O161" t="s">
        <v>74</v>
      </c>
      <c r="P161" t="s">
        <v>74</v>
      </c>
      <c r="Q161" t="s">
        <v>74</v>
      </c>
      <c r="R161" t="s">
        <v>74</v>
      </c>
      <c r="S161" t="s">
        <v>74</v>
      </c>
      <c r="T161" t="s">
        <v>3535</v>
      </c>
      <c r="U161" t="s">
        <v>3536</v>
      </c>
      <c r="V161" t="s">
        <v>3537</v>
      </c>
      <c r="W161" t="s">
        <v>3538</v>
      </c>
      <c r="X161" t="s">
        <v>3539</v>
      </c>
      <c r="Y161" t="s">
        <v>3540</v>
      </c>
      <c r="Z161" t="s">
        <v>3541</v>
      </c>
      <c r="AA161" t="s">
        <v>3542</v>
      </c>
      <c r="AB161" t="s">
        <v>3543</v>
      </c>
      <c r="AC161" t="s">
        <v>74</v>
      </c>
      <c r="AD161" t="s">
        <v>74</v>
      </c>
      <c r="AE161" t="s">
        <v>74</v>
      </c>
      <c r="AF161" t="s">
        <v>74</v>
      </c>
      <c r="AG161">
        <v>49</v>
      </c>
      <c r="AH161">
        <v>41</v>
      </c>
      <c r="AI161">
        <v>42</v>
      </c>
      <c r="AJ161">
        <v>9</v>
      </c>
      <c r="AK161">
        <v>47</v>
      </c>
      <c r="AL161" t="s">
        <v>74</v>
      </c>
      <c r="AM161" t="s">
        <v>74</v>
      </c>
      <c r="AN161" t="s">
        <v>74</v>
      </c>
      <c r="AO161" t="s">
        <v>3544</v>
      </c>
      <c r="AP161" t="s">
        <v>3545</v>
      </c>
      <c r="AQ161" t="s">
        <v>74</v>
      </c>
      <c r="AR161" t="s">
        <v>74</v>
      </c>
      <c r="AS161" t="s">
        <v>74</v>
      </c>
      <c r="AT161" t="s">
        <v>3546</v>
      </c>
      <c r="AU161">
        <v>2018</v>
      </c>
      <c r="AV161">
        <v>10</v>
      </c>
      <c r="AW161" t="s">
        <v>3547</v>
      </c>
      <c r="AX161" t="s">
        <v>74</v>
      </c>
      <c r="AY161" t="s">
        <v>74</v>
      </c>
      <c r="AZ161" t="s">
        <v>74</v>
      </c>
      <c r="BA161" t="s">
        <v>74</v>
      </c>
      <c r="BB161">
        <v>516</v>
      </c>
      <c r="BC161">
        <v>532</v>
      </c>
      <c r="BD161" t="s">
        <v>74</v>
      </c>
      <c r="BE161" t="s">
        <v>3548</v>
      </c>
      <c r="BF161" t="str">
        <f>HYPERLINK("http://dx.doi.org/10.4168/aair.2018.10.5.516","http://dx.doi.org/10.4168/aair.2018.10.5.516")</f>
        <v>http://dx.doi.org/10.4168/aair.2018.10.5.516</v>
      </c>
      <c r="BG161" t="s">
        <v>74</v>
      </c>
      <c r="BH161" t="s">
        <v>74</v>
      </c>
      <c r="BI161" t="s">
        <v>74</v>
      </c>
      <c r="BJ161" t="s">
        <v>904</v>
      </c>
      <c r="BK161" t="s">
        <v>112</v>
      </c>
      <c r="BL161" t="s">
        <v>904</v>
      </c>
      <c r="BM161" t="s">
        <v>74</v>
      </c>
      <c r="BN161">
        <v>30088371</v>
      </c>
      <c r="BO161" t="s">
        <v>74</v>
      </c>
      <c r="BP161" t="s">
        <v>74</v>
      </c>
      <c r="BQ161" t="s">
        <v>74</v>
      </c>
      <c r="BR161" t="s">
        <v>93</v>
      </c>
      <c r="BS161" t="s">
        <v>3549</v>
      </c>
      <c r="BT161" t="str">
        <f>HYPERLINK("https%3A%2F%2Fwww.webofscience.com%2Fwos%2Fwoscc%2Ffull-record%2FWOS:000454569400009","View Full Record in Web of Science")</f>
        <v>View Full Record in Web of Science</v>
      </c>
    </row>
    <row r="162" spans="1:72" x14ac:dyDescent="0.15">
      <c r="A162" t="s">
        <v>72</v>
      </c>
      <c r="B162" t="s">
        <v>9842</v>
      </c>
      <c r="C162" t="s">
        <v>74</v>
      </c>
      <c r="D162" t="s">
        <v>74</v>
      </c>
      <c r="E162" t="s">
        <v>74</v>
      </c>
      <c r="F162" t="s">
        <v>9843</v>
      </c>
      <c r="G162" t="s">
        <v>74</v>
      </c>
      <c r="H162" t="s">
        <v>74</v>
      </c>
      <c r="I162" t="s">
        <v>9844</v>
      </c>
      <c r="J162" t="s">
        <v>9845</v>
      </c>
      <c r="K162" t="s">
        <v>74</v>
      </c>
      <c r="L162" t="s">
        <v>74</v>
      </c>
      <c r="M162" t="s">
        <v>74</v>
      </c>
      <c r="N162" t="s">
        <v>78</v>
      </c>
      <c r="O162" t="s">
        <v>74</v>
      </c>
      <c r="P162" t="s">
        <v>74</v>
      </c>
      <c r="Q162" t="s">
        <v>74</v>
      </c>
      <c r="R162" t="s">
        <v>74</v>
      </c>
      <c r="S162" t="s">
        <v>74</v>
      </c>
      <c r="T162" t="s">
        <v>9846</v>
      </c>
      <c r="U162" t="s">
        <v>9847</v>
      </c>
      <c r="V162" t="s">
        <v>9848</v>
      </c>
      <c r="W162" t="s">
        <v>9849</v>
      </c>
      <c r="X162" t="s">
        <v>9850</v>
      </c>
      <c r="Y162" t="s">
        <v>9851</v>
      </c>
      <c r="Z162" t="s">
        <v>9852</v>
      </c>
      <c r="AA162" t="s">
        <v>74</v>
      </c>
      <c r="AB162" t="s">
        <v>74</v>
      </c>
      <c r="AC162" t="s">
        <v>74</v>
      </c>
      <c r="AD162" t="s">
        <v>74</v>
      </c>
      <c r="AE162" t="s">
        <v>74</v>
      </c>
      <c r="AF162" t="s">
        <v>74</v>
      </c>
      <c r="AG162">
        <v>62</v>
      </c>
      <c r="AH162">
        <v>41</v>
      </c>
      <c r="AI162">
        <v>48</v>
      </c>
      <c r="AJ162">
        <v>3</v>
      </c>
      <c r="AK162">
        <v>22</v>
      </c>
      <c r="AL162" t="s">
        <v>74</v>
      </c>
      <c r="AM162" t="s">
        <v>74</v>
      </c>
      <c r="AN162" t="s">
        <v>74</v>
      </c>
      <c r="AO162" t="s">
        <v>9853</v>
      </c>
      <c r="AP162" t="s">
        <v>9854</v>
      </c>
      <c r="AQ162" t="s">
        <v>74</v>
      </c>
      <c r="AR162" t="s">
        <v>74</v>
      </c>
      <c r="AS162" t="s">
        <v>74</v>
      </c>
      <c r="AT162" t="s">
        <v>503</v>
      </c>
      <c r="AU162">
        <v>2009</v>
      </c>
      <c r="AV162">
        <v>19</v>
      </c>
      <c r="AW162">
        <v>7</v>
      </c>
      <c r="AX162" t="s">
        <v>74</v>
      </c>
      <c r="AY162" t="s">
        <v>74</v>
      </c>
      <c r="AZ162" t="s">
        <v>74</v>
      </c>
      <c r="BA162" t="s">
        <v>74</v>
      </c>
      <c r="BB162">
        <v>864</v>
      </c>
      <c r="BC162">
        <v>876</v>
      </c>
      <c r="BD162" t="s">
        <v>74</v>
      </c>
      <c r="BE162" t="s">
        <v>9855</v>
      </c>
      <c r="BF162" t="str">
        <f>HYPERLINK("http://dx.doi.org/10.1038/cr.2009.66","http://dx.doi.org/10.1038/cr.2009.66")</f>
        <v>http://dx.doi.org/10.1038/cr.2009.66</v>
      </c>
      <c r="BG162" t="s">
        <v>74</v>
      </c>
      <c r="BH162" t="s">
        <v>74</v>
      </c>
      <c r="BI162" t="s">
        <v>74</v>
      </c>
      <c r="BJ162" t="s">
        <v>419</v>
      </c>
      <c r="BK162" t="s">
        <v>112</v>
      </c>
      <c r="BL162" t="s">
        <v>419</v>
      </c>
      <c r="BM162" t="s">
        <v>74</v>
      </c>
      <c r="BN162">
        <v>19532123</v>
      </c>
      <c r="BO162" t="s">
        <v>74</v>
      </c>
      <c r="BP162" t="s">
        <v>74</v>
      </c>
      <c r="BQ162" t="s">
        <v>74</v>
      </c>
      <c r="BR162" t="s">
        <v>93</v>
      </c>
      <c r="BS162" t="s">
        <v>9856</v>
      </c>
      <c r="BT162" t="str">
        <f>HYPERLINK("https%3A%2F%2Fwww.webofscience.com%2Fwos%2Fwoscc%2Ffull-record%2FWOS:000268722200008","View Full Record in Web of Science")</f>
        <v>View Full Record in Web of Science</v>
      </c>
    </row>
    <row r="163" spans="1:72" x14ac:dyDescent="0.15">
      <c r="A163" t="s">
        <v>72</v>
      </c>
      <c r="B163" t="s">
        <v>664</v>
      </c>
      <c r="C163" t="s">
        <v>74</v>
      </c>
      <c r="D163" t="s">
        <v>74</v>
      </c>
      <c r="E163" t="s">
        <v>74</v>
      </c>
      <c r="F163" t="s">
        <v>665</v>
      </c>
      <c r="G163" t="s">
        <v>74</v>
      </c>
      <c r="H163" t="s">
        <v>74</v>
      </c>
      <c r="I163" t="s">
        <v>666</v>
      </c>
      <c r="J163" t="s">
        <v>667</v>
      </c>
      <c r="K163" t="s">
        <v>74</v>
      </c>
      <c r="L163" t="s">
        <v>74</v>
      </c>
      <c r="M163" t="s">
        <v>74</v>
      </c>
      <c r="N163" t="s">
        <v>78</v>
      </c>
      <c r="O163" t="s">
        <v>74</v>
      </c>
      <c r="P163" t="s">
        <v>74</v>
      </c>
      <c r="Q163" t="s">
        <v>74</v>
      </c>
      <c r="R163" t="s">
        <v>74</v>
      </c>
      <c r="S163" t="s">
        <v>74</v>
      </c>
      <c r="T163" t="s">
        <v>668</v>
      </c>
      <c r="U163" t="s">
        <v>669</v>
      </c>
      <c r="V163" t="s">
        <v>670</v>
      </c>
      <c r="W163" t="s">
        <v>671</v>
      </c>
      <c r="X163" t="s">
        <v>672</v>
      </c>
      <c r="Y163" t="s">
        <v>673</v>
      </c>
      <c r="Z163" t="s">
        <v>674</v>
      </c>
      <c r="AA163" t="s">
        <v>675</v>
      </c>
      <c r="AB163" t="s">
        <v>676</v>
      </c>
      <c r="AC163" t="s">
        <v>74</v>
      </c>
      <c r="AD163" t="s">
        <v>74</v>
      </c>
      <c r="AE163" t="s">
        <v>74</v>
      </c>
      <c r="AF163" t="s">
        <v>74</v>
      </c>
      <c r="AG163">
        <v>62</v>
      </c>
      <c r="AH163">
        <v>40</v>
      </c>
      <c r="AI163">
        <v>41</v>
      </c>
      <c r="AJ163">
        <v>1</v>
      </c>
      <c r="AK163">
        <v>3</v>
      </c>
      <c r="AL163" t="s">
        <v>74</v>
      </c>
      <c r="AM163" t="s">
        <v>74</v>
      </c>
      <c r="AN163" t="s">
        <v>74</v>
      </c>
      <c r="AO163" t="s">
        <v>74</v>
      </c>
      <c r="AP163" t="s">
        <v>677</v>
      </c>
      <c r="AQ163" t="s">
        <v>74</v>
      </c>
      <c r="AR163" t="s">
        <v>74</v>
      </c>
      <c r="AS163" t="s">
        <v>74</v>
      </c>
      <c r="AT163" t="s">
        <v>678</v>
      </c>
      <c r="AU163">
        <v>2019</v>
      </c>
      <c r="AV163">
        <v>20</v>
      </c>
      <c r="AW163">
        <v>10</v>
      </c>
      <c r="AX163" t="s">
        <v>74</v>
      </c>
      <c r="AY163" t="s">
        <v>74</v>
      </c>
      <c r="AZ163" t="s">
        <v>74</v>
      </c>
      <c r="BA163" t="s">
        <v>74</v>
      </c>
      <c r="BB163" t="s">
        <v>74</v>
      </c>
      <c r="BC163" t="s">
        <v>74</v>
      </c>
      <c r="BD163">
        <v>2373</v>
      </c>
      <c r="BE163" t="s">
        <v>679</v>
      </c>
      <c r="BF163" t="str">
        <f>HYPERLINK("http://dx.doi.org/10.3390/ijms20102373","http://dx.doi.org/10.3390/ijms20102373")</f>
        <v>http://dx.doi.org/10.3390/ijms20102373</v>
      </c>
      <c r="BG163" t="s">
        <v>74</v>
      </c>
      <c r="BH163" t="s">
        <v>74</v>
      </c>
      <c r="BI163" t="s">
        <v>74</v>
      </c>
      <c r="BJ163" t="s">
        <v>680</v>
      </c>
      <c r="BK163" t="s">
        <v>112</v>
      </c>
      <c r="BL163" t="s">
        <v>681</v>
      </c>
      <c r="BM163" t="s">
        <v>74</v>
      </c>
      <c r="BN163">
        <v>31091653</v>
      </c>
      <c r="BO163" t="s">
        <v>74</v>
      </c>
      <c r="BP163" t="s">
        <v>74</v>
      </c>
      <c r="BQ163" t="s">
        <v>74</v>
      </c>
      <c r="BR163" t="s">
        <v>93</v>
      </c>
      <c r="BS163" t="s">
        <v>682</v>
      </c>
      <c r="BT163" t="str">
        <f>HYPERLINK("https%3A%2F%2Fwww.webofscience.com%2Fwos%2Fwoscc%2Ffull-record%2FWOS:000471001400004","View Full Record in Web of Science")</f>
        <v>View Full Record in Web of Science</v>
      </c>
    </row>
    <row r="164" spans="1:72" x14ac:dyDescent="0.15">
      <c r="A164" t="s">
        <v>72</v>
      </c>
      <c r="B164" t="s">
        <v>1780</v>
      </c>
      <c r="C164" t="s">
        <v>74</v>
      </c>
      <c r="D164" t="s">
        <v>74</v>
      </c>
      <c r="E164" t="s">
        <v>74</v>
      </c>
      <c r="F164" t="s">
        <v>1781</v>
      </c>
      <c r="G164" t="s">
        <v>74</v>
      </c>
      <c r="H164" t="s">
        <v>74</v>
      </c>
      <c r="I164" t="s">
        <v>1782</v>
      </c>
      <c r="J164" t="s">
        <v>1783</v>
      </c>
      <c r="K164" t="s">
        <v>74</v>
      </c>
      <c r="L164" t="s">
        <v>74</v>
      </c>
      <c r="M164" t="s">
        <v>74</v>
      </c>
      <c r="N164" t="s">
        <v>78</v>
      </c>
      <c r="O164" t="s">
        <v>74</v>
      </c>
      <c r="P164" t="s">
        <v>74</v>
      </c>
      <c r="Q164" t="s">
        <v>74</v>
      </c>
      <c r="R164" t="s">
        <v>74</v>
      </c>
      <c r="S164" t="s">
        <v>74</v>
      </c>
      <c r="T164" t="s">
        <v>1784</v>
      </c>
      <c r="U164" t="s">
        <v>1785</v>
      </c>
      <c r="V164" t="s">
        <v>1786</v>
      </c>
      <c r="W164" t="s">
        <v>1787</v>
      </c>
      <c r="X164" t="s">
        <v>1788</v>
      </c>
      <c r="Y164" t="s">
        <v>1789</v>
      </c>
      <c r="Z164" t="s">
        <v>1790</v>
      </c>
      <c r="AA164" t="s">
        <v>74</v>
      </c>
      <c r="AB164" t="s">
        <v>1791</v>
      </c>
      <c r="AC164" t="s">
        <v>74</v>
      </c>
      <c r="AD164" t="s">
        <v>74</v>
      </c>
      <c r="AE164" t="s">
        <v>74</v>
      </c>
      <c r="AF164" t="s">
        <v>74</v>
      </c>
      <c r="AG164">
        <v>29</v>
      </c>
      <c r="AH164">
        <v>40</v>
      </c>
      <c r="AI164">
        <v>41</v>
      </c>
      <c r="AJ164">
        <v>3</v>
      </c>
      <c r="AK164">
        <v>17</v>
      </c>
      <c r="AL164" t="s">
        <v>74</v>
      </c>
      <c r="AM164" t="s">
        <v>74</v>
      </c>
      <c r="AN164" t="s">
        <v>74</v>
      </c>
      <c r="AO164" t="s">
        <v>1792</v>
      </c>
      <c r="AP164" t="s">
        <v>1793</v>
      </c>
      <c r="AQ164" t="s">
        <v>74</v>
      </c>
      <c r="AR164" t="s">
        <v>74</v>
      </c>
      <c r="AS164" t="s">
        <v>74</v>
      </c>
      <c r="AT164" t="s">
        <v>171</v>
      </c>
      <c r="AU164">
        <v>2018</v>
      </c>
      <c r="AV164">
        <v>29</v>
      </c>
      <c r="AW164">
        <v>12</v>
      </c>
      <c r="AX164" t="s">
        <v>74</v>
      </c>
      <c r="AY164" t="s">
        <v>74</v>
      </c>
      <c r="AZ164" t="s">
        <v>74</v>
      </c>
      <c r="BA164" t="s">
        <v>74</v>
      </c>
      <c r="BB164">
        <v>2379</v>
      </c>
      <c r="BC164">
        <v>2383</v>
      </c>
      <c r="BD164" t="s">
        <v>74</v>
      </c>
      <c r="BE164" t="s">
        <v>1794</v>
      </c>
      <c r="BF164" t="str">
        <f>HYPERLINK("http://dx.doi.org/10.1093/annonc/mdy458","http://dx.doi.org/10.1093/annonc/mdy458")</f>
        <v>http://dx.doi.org/10.1093/annonc/mdy458</v>
      </c>
      <c r="BG164" t="s">
        <v>74</v>
      </c>
      <c r="BH164" t="s">
        <v>74</v>
      </c>
      <c r="BI164" t="s">
        <v>74</v>
      </c>
      <c r="BJ164" t="s">
        <v>146</v>
      </c>
      <c r="BK164" t="s">
        <v>112</v>
      </c>
      <c r="BL164" t="s">
        <v>146</v>
      </c>
      <c r="BM164" t="s">
        <v>74</v>
      </c>
      <c r="BN164">
        <v>30339193</v>
      </c>
      <c r="BO164" t="s">
        <v>74</v>
      </c>
      <c r="BP164" t="s">
        <v>74</v>
      </c>
      <c r="BQ164" t="s">
        <v>74</v>
      </c>
      <c r="BR164" t="s">
        <v>93</v>
      </c>
      <c r="BS164" t="s">
        <v>1795</v>
      </c>
      <c r="BT164" t="str">
        <f>HYPERLINK("https%3A%2F%2Fwww.webofscience.com%2Fwos%2Fwoscc%2Ffull-record%2FWOS:000456859200019","View Full Record in Web of Science")</f>
        <v>View Full Record in Web of Science</v>
      </c>
    </row>
    <row r="165" spans="1:72" x14ac:dyDescent="0.15">
      <c r="A165" t="s">
        <v>72</v>
      </c>
      <c r="B165" t="s">
        <v>3965</v>
      </c>
      <c r="C165" t="s">
        <v>74</v>
      </c>
      <c r="D165" t="s">
        <v>74</v>
      </c>
      <c r="E165" t="s">
        <v>74</v>
      </c>
      <c r="F165" t="s">
        <v>3966</v>
      </c>
      <c r="G165" t="s">
        <v>74</v>
      </c>
      <c r="H165" t="s">
        <v>74</v>
      </c>
      <c r="I165" t="s">
        <v>3967</v>
      </c>
      <c r="J165" t="s">
        <v>1828</v>
      </c>
      <c r="K165" t="s">
        <v>74</v>
      </c>
      <c r="L165" t="s">
        <v>74</v>
      </c>
      <c r="M165" t="s">
        <v>74</v>
      </c>
      <c r="N165" t="s">
        <v>78</v>
      </c>
      <c r="O165" t="s">
        <v>74</v>
      </c>
      <c r="P165" t="s">
        <v>74</v>
      </c>
      <c r="Q165" t="s">
        <v>74</v>
      </c>
      <c r="R165" t="s">
        <v>74</v>
      </c>
      <c r="S165" t="s">
        <v>74</v>
      </c>
      <c r="T165" t="s">
        <v>74</v>
      </c>
      <c r="U165" t="s">
        <v>3968</v>
      </c>
      <c r="V165" t="s">
        <v>3969</v>
      </c>
      <c r="W165" t="s">
        <v>3970</v>
      </c>
      <c r="X165" t="s">
        <v>3971</v>
      </c>
      <c r="Y165" t="s">
        <v>3972</v>
      </c>
      <c r="Z165" t="s">
        <v>3973</v>
      </c>
      <c r="AA165" t="s">
        <v>3974</v>
      </c>
      <c r="AB165" t="s">
        <v>3975</v>
      </c>
      <c r="AC165" t="s">
        <v>74</v>
      </c>
      <c r="AD165" t="s">
        <v>74</v>
      </c>
      <c r="AE165" t="s">
        <v>74</v>
      </c>
      <c r="AF165" t="s">
        <v>74</v>
      </c>
      <c r="AG165">
        <v>71</v>
      </c>
      <c r="AH165">
        <v>40</v>
      </c>
      <c r="AI165">
        <v>42</v>
      </c>
      <c r="AJ165">
        <v>1</v>
      </c>
      <c r="AK165">
        <v>17</v>
      </c>
      <c r="AL165" t="s">
        <v>74</v>
      </c>
      <c r="AM165" t="s">
        <v>74</v>
      </c>
      <c r="AN165" t="s">
        <v>74</v>
      </c>
      <c r="AO165" t="s">
        <v>1837</v>
      </c>
      <c r="AP165" t="s">
        <v>74</v>
      </c>
      <c r="AQ165" t="s">
        <v>74</v>
      </c>
      <c r="AR165" t="s">
        <v>74</v>
      </c>
      <c r="AS165" t="s">
        <v>74</v>
      </c>
      <c r="AT165" t="s">
        <v>3976</v>
      </c>
      <c r="AU165">
        <v>2019</v>
      </c>
      <c r="AV165">
        <v>9</v>
      </c>
      <c r="AW165" t="s">
        <v>74</v>
      </c>
      <c r="AX165" t="s">
        <v>74</v>
      </c>
      <c r="AY165" t="s">
        <v>74</v>
      </c>
      <c r="AZ165" t="s">
        <v>74</v>
      </c>
      <c r="BA165" t="s">
        <v>74</v>
      </c>
      <c r="BB165" t="s">
        <v>74</v>
      </c>
      <c r="BC165" t="s">
        <v>74</v>
      </c>
      <c r="BD165">
        <v>9103</v>
      </c>
      <c r="BE165" t="s">
        <v>3977</v>
      </c>
      <c r="BF165" t="str">
        <f>HYPERLINK("http://dx.doi.org/10.1038/s41598-019-45669-z","http://dx.doi.org/10.1038/s41598-019-45669-z")</f>
        <v>http://dx.doi.org/10.1038/s41598-019-45669-z</v>
      </c>
      <c r="BG165" t="s">
        <v>74</v>
      </c>
      <c r="BH165" t="s">
        <v>74</v>
      </c>
      <c r="BI165" t="s">
        <v>74</v>
      </c>
      <c r="BJ165" t="s">
        <v>545</v>
      </c>
      <c r="BK165" t="s">
        <v>112</v>
      </c>
      <c r="BL165" t="s">
        <v>546</v>
      </c>
      <c r="BM165" t="s">
        <v>74</v>
      </c>
      <c r="BN165">
        <v>31235776</v>
      </c>
      <c r="BO165" t="s">
        <v>74</v>
      </c>
      <c r="BP165" t="s">
        <v>74</v>
      </c>
      <c r="BQ165" t="s">
        <v>74</v>
      </c>
      <c r="BR165" t="s">
        <v>93</v>
      </c>
      <c r="BS165" t="s">
        <v>3978</v>
      </c>
      <c r="BT165" t="str">
        <f>HYPERLINK("https%3A%2F%2Fwww.webofscience.com%2Fwos%2Fwoscc%2Ffull-record%2FWOS:000472597400006","View Full Record in Web of Science")</f>
        <v>View Full Record in Web of Science</v>
      </c>
    </row>
    <row r="166" spans="1:72" x14ac:dyDescent="0.15">
      <c r="A166" t="s">
        <v>72</v>
      </c>
      <c r="B166" t="s">
        <v>7579</v>
      </c>
      <c r="C166" t="s">
        <v>74</v>
      </c>
      <c r="D166" t="s">
        <v>74</v>
      </c>
      <c r="E166" t="s">
        <v>74</v>
      </c>
      <c r="F166" t="s">
        <v>7580</v>
      </c>
      <c r="G166" t="s">
        <v>74</v>
      </c>
      <c r="H166" t="s">
        <v>74</v>
      </c>
      <c r="I166" t="s">
        <v>7581</v>
      </c>
      <c r="J166" t="s">
        <v>2881</v>
      </c>
      <c r="K166" t="s">
        <v>74</v>
      </c>
      <c r="L166" t="s">
        <v>74</v>
      </c>
      <c r="M166" t="s">
        <v>74</v>
      </c>
      <c r="N166" t="s">
        <v>78</v>
      </c>
      <c r="O166" t="s">
        <v>74</v>
      </c>
      <c r="P166" t="s">
        <v>74</v>
      </c>
      <c r="Q166" t="s">
        <v>74</v>
      </c>
      <c r="R166" t="s">
        <v>74</v>
      </c>
      <c r="S166" t="s">
        <v>74</v>
      </c>
      <c r="T166" t="s">
        <v>74</v>
      </c>
      <c r="U166" t="s">
        <v>7582</v>
      </c>
      <c r="V166" t="s">
        <v>7583</v>
      </c>
      <c r="W166" t="s">
        <v>7584</v>
      </c>
      <c r="X166" t="s">
        <v>7585</v>
      </c>
      <c r="Y166" t="s">
        <v>7586</v>
      </c>
      <c r="Z166" t="s">
        <v>6348</v>
      </c>
      <c r="AA166" t="s">
        <v>74</v>
      </c>
      <c r="AB166" t="s">
        <v>7587</v>
      </c>
      <c r="AC166" t="s">
        <v>74</v>
      </c>
      <c r="AD166" t="s">
        <v>74</v>
      </c>
      <c r="AE166" t="s">
        <v>74</v>
      </c>
      <c r="AF166" t="s">
        <v>74</v>
      </c>
      <c r="AG166">
        <v>46</v>
      </c>
      <c r="AH166">
        <v>40</v>
      </c>
      <c r="AI166">
        <v>42</v>
      </c>
      <c r="AJ166">
        <v>1</v>
      </c>
      <c r="AK166">
        <v>4</v>
      </c>
      <c r="AL166" t="s">
        <v>74</v>
      </c>
      <c r="AM166" t="s">
        <v>74</v>
      </c>
      <c r="AN166" t="s">
        <v>74</v>
      </c>
      <c r="AO166" t="s">
        <v>2891</v>
      </c>
      <c r="AP166" t="s">
        <v>74</v>
      </c>
      <c r="AQ166" t="s">
        <v>74</v>
      </c>
      <c r="AR166" t="s">
        <v>74</v>
      </c>
      <c r="AS166" t="s">
        <v>74</v>
      </c>
      <c r="AT166" t="s">
        <v>503</v>
      </c>
      <c r="AU166">
        <v>2011</v>
      </c>
      <c r="AV166">
        <v>78</v>
      </c>
      <c r="AW166">
        <v>7</v>
      </c>
      <c r="AX166" t="s">
        <v>74</v>
      </c>
      <c r="AY166" t="s">
        <v>74</v>
      </c>
      <c r="AZ166" t="s">
        <v>74</v>
      </c>
      <c r="BA166" t="s">
        <v>74</v>
      </c>
      <c r="BB166">
        <v>467</v>
      </c>
      <c r="BC166">
        <v>476</v>
      </c>
      <c r="BD166" t="s">
        <v>74</v>
      </c>
      <c r="BE166" t="s">
        <v>7588</v>
      </c>
      <c r="BF166" t="str">
        <f>HYPERLINK("http://dx.doi.org/10.1002/mrd.21327","http://dx.doi.org/10.1002/mrd.21327")</f>
        <v>http://dx.doi.org/10.1002/mrd.21327</v>
      </c>
      <c r="BG166" t="s">
        <v>74</v>
      </c>
      <c r="BH166" t="s">
        <v>74</v>
      </c>
      <c r="BI166" t="s">
        <v>74</v>
      </c>
      <c r="BJ166" t="s">
        <v>2894</v>
      </c>
      <c r="BK166" t="s">
        <v>112</v>
      </c>
      <c r="BL166" t="s">
        <v>2894</v>
      </c>
      <c r="BM166" t="s">
        <v>74</v>
      </c>
      <c r="BN166">
        <v>21638509</v>
      </c>
      <c r="BO166" t="s">
        <v>74</v>
      </c>
      <c r="BP166" t="s">
        <v>74</v>
      </c>
      <c r="BQ166" t="s">
        <v>74</v>
      </c>
      <c r="BR166" t="s">
        <v>93</v>
      </c>
      <c r="BS166" t="s">
        <v>7589</v>
      </c>
      <c r="BT166" t="str">
        <f>HYPERLINK("https%3A%2F%2Fwww.webofscience.com%2Fwos%2Fwoscc%2Ffull-record%2FWOS:000293457500004","View Full Record in Web of Science")</f>
        <v>View Full Record in Web of Science</v>
      </c>
    </row>
    <row r="167" spans="1:72" x14ac:dyDescent="0.15">
      <c r="A167" t="s">
        <v>72</v>
      </c>
      <c r="B167" t="s">
        <v>8186</v>
      </c>
      <c r="C167" t="s">
        <v>74</v>
      </c>
      <c r="D167" t="s">
        <v>74</v>
      </c>
      <c r="E167" t="s">
        <v>74</v>
      </c>
      <c r="F167" t="s">
        <v>8187</v>
      </c>
      <c r="G167" t="s">
        <v>74</v>
      </c>
      <c r="H167" t="s">
        <v>74</v>
      </c>
      <c r="I167" t="s">
        <v>8188</v>
      </c>
      <c r="J167" t="s">
        <v>7243</v>
      </c>
      <c r="K167" t="s">
        <v>74</v>
      </c>
      <c r="L167" t="s">
        <v>74</v>
      </c>
      <c r="M167" t="s">
        <v>74</v>
      </c>
      <c r="N167" t="s">
        <v>78</v>
      </c>
      <c r="O167" t="s">
        <v>74</v>
      </c>
      <c r="P167" t="s">
        <v>74</v>
      </c>
      <c r="Q167" t="s">
        <v>74</v>
      </c>
      <c r="R167" t="s">
        <v>74</v>
      </c>
      <c r="S167" t="s">
        <v>74</v>
      </c>
      <c r="T167" t="s">
        <v>8189</v>
      </c>
      <c r="U167" t="s">
        <v>8190</v>
      </c>
      <c r="V167" t="s">
        <v>8191</v>
      </c>
      <c r="W167" t="s">
        <v>8192</v>
      </c>
      <c r="X167" t="s">
        <v>8193</v>
      </c>
      <c r="Y167" t="s">
        <v>8194</v>
      </c>
      <c r="Z167" t="s">
        <v>8195</v>
      </c>
      <c r="AA167" t="s">
        <v>74</v>
      </c>
      <c r="AB167" t="s">
        <v>74</v>
      </c>
      <c r="AC167" t="s">
        <v>74</v>
      </c>
      <c r="AD167" t="s">
        <v>74</v>
      </c>
      <c r="AE167" t="s">
        <v>74</v>
      </c>
      <c r="AF167" t="s">
        <v>74</v>
      </c>
      <c r="AG167">
        <v>28</v>
      </c>
      <c r="AH167">
        <v>40</v>
      </c>
      <c r="AI167">
        <v>44</v>
      </c>
      <c r="AJ167">
        <v>1</v>
      </c>
      <c r="AK167">
        <v>14</v>
      </c>
      <c r="AL167" t="s">
        <v>74</v>
      </c>
      <c r="AM167" t="s">
        <v>74</v>
      </c>
      <c r="AN167" t="s">
        <v>74</v>
      </c>
      <c r="AO167" t="s">
        <v>7253</v>
      </c>
      <c r="AP167" t="s">
        <v>7254</v>
      </c>
      <c r="AQ167" t="s">
        <v>74</v>
      </c>
      <c r="AR167" t="s">
        <v>74</v>
      </c>
      <c r="AS167" t="s">
        <v>74</v>
      </c>
      <c r="AT167" t="s">
        <v>8196</v>
      </c>
      <c r="AU167">
        <v>2019</v>
      </c>
      <c r="AV167">
        <v>25</v>
      </c>
      <c r="AW167">
        <v>15</v>
      </c>
      <c r="AX167" t="s">
        <v>74</v>
      </c>
      <c r="AY167" t="s">
        <v>74</v>
      </c>
      <c r="AZ167" t="s">
        <v>74</v>
      </c>
      <c r="BA167" t="s">
        <v>74</v>
      </c>
      <c r="BB167">
        <v>1890</v>
      </c>
      <c r="BC167">
        <v>1898</v>
      </c>
      <c r="BD167" t="s">
        <v>74</v>
      </c>
      <c r="BE167" t="s">
        <v>8197</v>
      </c>
      <c r="BF167" t="str">
        <f>HYPERLINK("http://dx.doi.org/10.3748/wjg.v25.i15.1890","http://dx.doi.org/10.3748/wjg.v25.i15.1890")</f>
        <v>http://dx.doi.org/10.3748/wjg.v25.i15.1890</v>
      </c>
      <c r="BG167" t="s">
        <v>74</v>
      </c>
      <c r="BH167" t="s">
        <v>74</v>
      </c>
      <c r="BI167" t="s">
        <v>74</v>
      </c>
      <c r="BJ167" t="s">
        <v>5475</v>
      </c>
      <c r="BK167" t="s">
        <v>112</v>
      </c>
      <c r="BL167" t="s">
        <v>5475</v>
      </c>
      <c r="BM167" t="s">
        <v>74</v>
      </c>
      <c r="BN167">
        <v>31057302</v>
      </c>
      <c r="BO167" t="s">
        <v>74</v>
      </c>
      <c r="BP167" t="s">
        <v>74</v>
      </c>
      <c r="BQ167" t="s">
        <v>74</v>
      </c>
      <c r="BR167" t="s">
        <v>93</v>
      </c>
      <c r="BS167" t="s">
        <v>8198</v>
      </c>
      <c r="BT167" t="str">
        <f>HYPERLINK("https%3A%2F%2Fwww.webofscience.com%2Fwos%2Fwoscc%2Ffull-record%2FWOS:000465126200009","View Full Record in Web of Science")</f>
        <v>View Full Record in Web of Science</v>
      </c>
    </row>
    <row r="168" spans="1:72" x14ac:dyDescent="0.15">
      <c r="A168" t="s">
        <v>72</v>
      </c>
      <c r="B168" t="s">
        <v>10718</v>
      </c>
      <c r="C168" t="s">
        <v>74</v>
      </c>
      <c r="D168" t="s">
        <v>74</v>
      </c>
      <c r="E168" t="s">
        <v>74</v>
      </c>
      <c r="F168" t="s">
        <v>10719</v>
      </c>
      <c r="G168" t="s">
        <v>74</v>
      </c>
      <c r="H168" t="s">
        <v>74</v>
      </c>
      <c r="I168" t="s">
        <v>10720</v>
      </c>
      <c r="J168" t="s">
        <v>10721</v>
      </c>
      <c r="K168" t="s">
        <v>74</v>
      </c>
      <c r="L168" t="s">
        <v>74</v>
      </c>
      <c r="M168" t="s">
        <v>74</v>
      </c>
      <c r="N168" t="s">
        <v>78</v>
      </c>
      <c r="O168" t="s">
        <v>74</v>
      </c>
      <c r="P168" t="s">
        <v>74</v>
      </c>
      <c r="Q168" t="s">
        <v>74</v>
      </c>
      <c r="R168" t="s">
        <v>74</v>
      </c>
      <c r="S168" t="s">
        <v>74</v>
      </c>
      <c r="T168" t="s">
        <v>74</v>
      </c>
      <c r="U168" t="s">
        <v>10722</v>
      </c>
      <c r="V168" t="s">
        <v>10723</v>
      </c>
      <c r="W168" t="s">
        <v>10724</v>
      </c>
      <c r="X168" t="s">
        <v>10725</v>
      </c>
      <c r="Y168" t="s">
        <v>10726</v>
      </c>
      <c r="Z168" t="s">
        <v>10727</v>
      </c>
      <c r="AA168" t="s">
        <v>10728</v>
      </c>
      <c r="AB168" t="s">
        <v>10729</v>
      </c>
      <c r="AC168" t="s">
        <v>74</v>
      </c>
      <c r="AD168" t="s">
        <v>74</v>
      </c>
      <c r="AE168" t="s">
        <v>74</v>
      </c>
      <c r="AF168" t="s">
        <v>74</v>
      </c>
      <c r="AG168">
        <v>44</v>
      </c>
      <c r="AH168">
        <v>40</v>
      </c>
      <c r="AI168">
        <v>42</v>
      </c>
      <c r="AJ168">
        <v>0</v>
      </c>
      <c r="AK168">
        <v>31</v>
      </c>
      <c r="AL168" t="s">
        <v>74</v>
      </c>
      <c r="AM168" t="s">
        <v>74</v>
      </c>
      <c r="AN168" t="s">
        <v>74</v>
      </c>
      <c r="AO168" t="s">
        <v>10730</v>
      </c>
      <c r="AP168" t="s">
        <v>10731</v>
      </c>
      <c r="AQ168" t="s">
        <v>74</v>
      </c>
      <c r="AR168" t="s">
        <v>74</v>
      </c>
      <c r="AS168" t="s">
        <v>74</v>
      </c>
      <c r="AT168" t="s">
        <v>4413</v>
      </c>
      <c r="AU168">
        <v>2019</v>
      </c>
      <c r="AV168">
        <v>38</v>
      </c>
      <c r="AW168">
        <v>25</v>
      </c>
      <c r="AX168" t="s">
        <v>74</v>
      </c>
      <c r="AY168" t="s">
        <v>74</v>
      </c>
      <c r="AZ168" t="s">
        <v>74</v>
      </c>
      <c r="BA168" t="s">
        <v>74</v>
      </c>
      <c r="BB168">
        <v>4990</v>
      </c>
      <c r="BC168">
        <v>5006</v>
      </c>
      <c r="BD168" t="s">
        <v>74</v>
      </c>
      <c r="BE168" t="s">
        <v>10732</v>
      </c>
      <c r="BF168" t="str">
        <f>HYPERLINK("http://dx.doi.org/10.1038/s41388-019-0771-0","http://dx.doi.org/10.1038/s41388-019-0771-0")</f>
        <v>http://dx.doi.org/10.1038/s41388-019-0771-0</v>
      </c>
      <c r="BG168" t="s">
        <v>74</v>
      </c>
      <c r="BH168" t="s">
        <v>74</v>
      </c>
      <c r="BI168" t="s">
        <v>74</v>
      </c>
      <c r="BJ168" t="s">
        <v>10733</v>
      </c>
      <c r="BK168" t="s">
        <v>112</v>
      </c>
      <c r="BL168" t="s">
        <v>10733</v>
      </c>
      <c r="BM168" t="s">
        <v>74</v>
      </c>
      <c r="BN168">
        <v>30858545</v>
      </c>
      <c r="BO168" t="s">
        <v>74</v>
      </c>
      <c r="BP168" t="s">
        <v>74</v>
      </c>
      <c r="BQ168" t="s">
        <v>74</v>
      </c>
      <c r="BR168" t="s">
        <v>93</v>
      </c>
      <c r="BS168" t="s">
        <v>10734</v>
      </c>
      <c r="BT168" t="str">
        <f>HYPERLINK("https%3A%2F%2Fwww.webofscience.com%2Fwos%2Fwoscc%2Ffull-record%2FWOS:000472145900008","View Full Record in Web of Science")</f>
        <v>View Full Record in Web of Science</v>
      </c>
    </row>
    <row r="169" spans="1:72" x14ac:dyDescent="0.15">
      <c r="A169" t="s">
        <v>72</v>
      </c>
      <c r="B169" t="s">
        <v>174</v>
      </c>
      <c r="C169" t="s">
        <v>74</v>
      </c>
      <c r="D169" t="s">
        <v>74</v>
      </c>
      <c r="E169" t="s">
        <v>74</v>
      </c>
      <c r="F169" t="s">
        <v>175</v>
      </c>
      <c r="G169" t="s">
        <v>74</v>
      </c>
      <c r="H169" t="s">
        <v>74</v>
      </c>
      <c r="I169" t="s">
        <v>176</v>
      </c>
      <c r="J169" t="s">
        <v>177</v>
      </c>
      <c r="K169" t="s">
        <v>74</v>
      </c>
      <c r="L169" t="s">
        <v>74</v>
      </c>
      <c r="M169" t="s">
        <v>74</v>
      </c>
      <c r="N169" t="s">
        <v>78</v>
      </c>
      <c r="O169" t="s">
        <v>74</v>
      </c>
      <c r="P169" t="s">
        <v>74</v>
      </c>
      <c r="Q169" t="s">
        <v>74</v>
      </c>
      <c r="R169" t="s">
        <v>74</v>
      </c>
      <c r="S169" t="s">
        <v>74</v>
      </c>
      <c r="T169" t="s">
        <v>178</v>
      </c>
      <c r="U169" t="s">
        <v>179</v>
      </c>
      <c r="V169" t="s">
        <v>180</v>
      </c>
      <c r="W169" t="s">
        <v>181</v>
      </c>
      <c r="X169" t="s">
        <v>182</v>
      </c>
      <c r="Y169" t="s">
        <v>183</v>
      </c>
      <c r="Z169" t="s">
        <v>105</v>
      </c>
      <c r="AA169" t="s">
        <v>184</v>
      </c>
      <c r="AB169" t="s">
        <v>74</v>
      </c>
      <c r="AC169" t="s">
        <v>74</v>
      </c>
      <c r="AD169" t="s">
        <v>74</v>
      </c>
      <c r="AE169" t="s">
        <v>74</v>
      </c>
      <c r="AF169" t="s">
        <v>74</v>
      </c>
      <c r="AG169">
        <v>19</v>
      </c>
      <c r="AH169">
        <v>39</v>
      </c>
      <c r="AI169">
        <v>41</v>
      </c>
      <c r="AJ169">
        <v>1</v>
      </c>
      <c r="AK169">
        <v>4</v>
      </c>
      <c r="AL169" t="s">
        <v>74</v>
      </c>
      <c r="AM169" t="s">
        <v>74</v>
      </c>
      <c r="AN169" t="s">
        <v>74</v>
      </c>
      <c r="AO169" t="s">
        <v>185</v>
      </c>
      <c r="AP169" t="s">
        <v>74</v>
      </c>
      <c r="AQ169" t="s">
        <v>74</v>
      </c>
      <c r="AR169" t="s">
        <v>74</v>
      </c>
      <c r="AS169" t="s">
        <v>74</v>
      </c>
      <c r="AT169" t="s">
        <v>186</v>
      </c>
      <c r="AU169">
        <v>2018</v>
      </c>
      <c r="AV169">
        <v>17</v>
      </c>
      <c r="AW169" t="s">
        <v>74</v>
      </c>
      <c r="AX169" t="s">
        <v>74</v>
      </c>
      <c r="AY169" t="s">
        <v>74</v>
      </c>
      <c r="AZ169" t="s">
        <v>74</v>
      </c>
      <c r="BA169" t="s">
        <v>74</v>
      </c>
      <c r="BB169" t="s">
        <v>74</v>
      </c>
      <c r="BC169" t="s">
        <v>74</v>
      </c>
      <c r="BD169">
        <v>15</v>
      </c>
      <c r="BE169" t="s">
        <v>187</v>
      </c>
      <c r="BF169" t="str">
        <f>HYPERLINK("http://dx.doi.org/10.1186/s12943-018-0772-6","http://dx.doi.org/10.1186/s12943-018-0772-6")</f>
        <v>http://dx.doi.org/10.1186/s12943-018-0772-6</v>
      </c>
      <c r="BG169" t="s">
        <v>74</v>
      </c>
      <c r="BH169" t="s">
        <v>74</v>
      </c>
      <c r="BI169" t="s">
        <v>74</v>
      </c>
      <c r="BJ169" t="s">
        <v>188</v>
      </c>
      <c r="BK169" t="s">
        <v>112</v>
      </c>
      <c r="BL169" t="s">
        <v>188</v>
      </c>
      <c r="BM169" t="s">
        <v>74</v>
      </c>
      <c r="BN169">
        <v>29374476</v>
      </c>
      <c r="BO169" t="s">
        <v>74</v>
      </c>
      <c r="BP169" t="s">
        <v>74</v>
      </c>
      <c r="BQ169" t="s">
        <v>74</v>
      </c>
      <c r="BR169" t="s">
        <v>93</v>
      </c>
      <c r="BS169" t="s">
        <v>189</v>
      </c>
      <c r="BT169" t="str">
        <f>HYPERLINK("https%3A%2F%2Fwww.webofscience.com%2Fwos%2Fwoscc%2Ffull-record%2FWOS:000423572600001","View Full Record in Web of Science")</f>
        <v>View Full Record in Web of Science</v>
      </c>
    </row>
    <row r="170" spans="1:72" x14ac:dyDescent="0.15">
      <c r="A170" t="s">
        <v>72</v>
      </c>
      <c r="B170" t="s">
        <v>2010</v>
      </c>
      <c r="C170" t="s">
        <v>74</v>
      </c>
      <c r="D170" t="s">
        <v>74</v>
      </c>
      <c r="E170" t="s">
        <v>74</v>
      </c>
      <c r="F170" t="s">
        <v>2011</v>
      </c>
      <c r="G170" t="s">
        <v>74</v>
      </c>
      <c r="H170" t="s">
        <v>74</v>
      </c>
      <c r="I170" t="s">
        <v>2012</v>
      </c>
      <c r="J170" t="s">
        <v>2013</v>
      </c>
      <c r="K170" t="s">
        <v>74</v>
      </c>
      <c r="L170" t="s">
        <v>74</v>
      </c>
      <c r="M170" t="s">
        <v>74</v>
      </c>
      <c r="N170" t="s">
        <v>78</v>
      </c>
      <c r="O170" t="s">
        <v>74</v>
      </c>
      <c r="P170" t="s">
        <v>74</v>
      </c>
      <c r="Q170" t="s">
        <v>74</v>
      </c>
      <c r="R170" t="s">
        <v>74</v>
      </c>
      <c r="S170" t="s">
        <v>74</v>
      </c>
      <c r="T170" t="s">
        <v>74</v>
      </c>
      <c r="U170" t="s">
        <v>2014</v>
      </c>
      <c r="V170" t="s">
        <v>2015</v>
      </c>
      <c r="W170" t="s">
        <v>2016</v>
      </c>
      <c r="X170" t="s">
        <v>2017</v>
      </c>
      <c r="Y170" t="s">
        <v>2018</v>
      </c>
      <c r="Z170" t="s">
        <v>2019</v>
      </c>
      <c r="AA170" t="s">
        <v>2020</v>
      </c>
      <c r="AB170" t="s">
        <v>2021</v>
      </c>
      <c r="AC170" t="s">
        <v>74</v>
      </c>
      <c r="AD170" t="s">
        <v>74</v>
      </c>
      <c r="AE170" t="s">
        <v>74</v>
      </c>
      <c r="AF170" t="s">
        <v>74</v>
      </c>
      <c r="AG170">
        <v>42</v>
      </c>
      <c r="AH170">
        <v>39</v>
      </c>
      <c r="AI170">
        <v>39</v>
      </c>
      <c r="AJ170">
        <v>10</v>
      </c>
      <c r="AK170">
        <v>165</v>
      </c>
      <c r="AL170" t="s">
        <v>74</v>
      </c>
      <c r="AM170" t="s">
        <v>74</v>
      </c>
      <c r="AN170" t="s">
        <v>74</v>
      </c>
      <c r="AO170" t="s">
        <v>2022</v>
      </c>
      <c r="AP170" t="s">
        <v>2023</v>
      </c>
      <c r="AQ170" t="s">
        <v>74</v>
      </c>
      <c r="AR170" t="s">
        <v>74</v>
      </c>
      <c r="AS170" t="s">
        <v>74</v>
      </c>
      <c r="AT170" t="s">
        <v>2024</v>
      </c>
      <c r="AU170">
        <v>2019</v>
      </c>
      <c r="AV170">
        <v>91</v>
      </c>
      <c r="AW170">
        <v>4</v>
      </c>
      <c r="AX170" t="s">
        <v>74</v>
      </c>
      <c r="AY170" t="s">
        <v>74</v>
      </c>
      <c r="AZ170" t="s">
        <v>74</v>
      </c>
      <c r="BA170" t="s">
        <v>74</v>
      </c>
      <c r="BB170">
        <v>2768</v>
      </c>
      <c r="BC170">
        <v>2775</v>
      </c>
      <c r="BD170" t="s">
        <v>74</v>
      </c>
      <c r="BE170" t="s">
        <v>2025</v>
      </c>
      <c r="BF170" t="str">
        <f>HYPERLINK("http://dx.doi.org/10.1021/acs.analchem.8b04509","http://dx.doi.org/10.1021/acs.analchem.8b04509")</f>
        <v>http://dx.doi.org/10.1021/acs.analchem.8b04509</v>
      </c>
      <c r="BG170" t="s">
        <v>74</v>
      </c>
      <c r="BH170" t="s">
        <v>74</v>
      </c>
      <c r="BI170" t="s">
        <v>74</v>
      </c>
      <c r="BJ170" t="s">
        <v>1196</v>
      </c>
      <c r="BK170" t="s">
        <v>112</v>
      </c>
      <c r="BL170" t="s">
        <v>1197</v>
      </c>
      <c r="BM170" t="s">
        <v>74</v>
      </c>
      <c r="BN170">
        <v>30644724</v>
      </c>
      <c r="BO170" t="s">
        <v>74</v>
      </c>
      <c r="BP170" t="s">
        <v>74</v>
      </c>
      <c r="BQ170" t="s">
        <v>74</v>
      </c>
      <c r="BR170" t="s">
        <v>93</v>
      </c>
      <c r="BS170" t="s">
        <v>2026</v>
      </c>
      <c r="BT170" t="str">
        <f>HYPERLINK("https%3A%2F%2Fwww.webofscience.com%2Fwos%2Fwoscc%2Ffull-record%2FWOS:000459642400030","View Full Record in Web of Science")</f>
        <v>View Full Record in Web of Science</v>
      </c>
    </row>
    <row r="171" spans="1:72" x14ac:dyDescent="0.15">
      <c r="A171" t="s">
        <v>72</v>
      </c>
      <c r="B171" t="s">
        <v>3359</v>
      </c>
      <c r="C171" t="s">
        <v>74</v>
      </c>
      <c r="D171" t="s">
        <v>74</v>
      </c>
      <c r="E171" t="s">
        <v>74</v>
      </c>
      <c r="F171" t="s">
        <v>3360</v>
      </c>
      <c r="G171" t="s">
        <v>74</v>
      </c>
      <c r="H171" t="s">
        <v>74</v>
      </c>
      <c r="I171" t="s">
        <v>3361</v>
      </c>
      <c r="J171" t="s">
        <v>2154</v>
      </c>
      <c r="K171" t="s">
        <v>74</v>
      </c>
      <c r="L171" t="s">
        <v>74</v>
      </c>
      <c r="M171" t="s">
        <v>74</v>
      </c>
      <c r="N171" t="s">
        <v>78</v>
      </c>
      <c r="O171" t="s">
        <v>74</v>
      </c>
      <c r="P171" t="s">
        <v>74</v>
      </c>
      <c r="Q171" t="s">
        <v>74</v>
      </c>
      <c r="R171" t="s">
        <v>74</v>
      </c>
      <c r="S171" t="s">
        <v>74</v>
      </c>
      <c r="T171" t="s">
        <v>74</v>
      </c>
      <c r="U171" t="s">
        <v>3362</v>
      </c>
      <c r="V171" t="s">
        <v>3363</v>
      </c>
      <c r="W171" t="s">
        <v>3364</v>
      </c>
      <c r="X171" t="s">
        <v>3365</v>
      </c>
      <c r="Y171" t="s">
        <v>3366</v>
      </c>
      <c r="Z171" t="s">
        <v>3367</v>
      </c>
      <c r="AA171" t="s">
        <v>74</v>
      </c>
      <c r="AB171" t="s">
        <v>74</v>
      </c>
      <c r="AC171" t="s">
        <v>74</v>
      </c>
      <c r="AD171" t="s">
        <v>74</v>
      </c>
      <c r="AE171" t="s">
        <v>74</v>
      </c>
      <c r="AF171" t="s">
        <v>74</v>
      </c>
      <c r="AG171">
        <v>50</v>
      </c>
      <c r="AH171">
        <v>39</v>
      </c>
      <c r="AI171">
        <v>39</v>
      </c>
      <c r="AJ171">
        <v>5</v>
      </c>
      <c r="AK171">
        <v>113</v>
      </c>
      <c r="AL171" t="s">
        <v>74</v>
      </c>
      <c r="AM171" t="s">
        <v>74</v>
      </c>
      <c r="AN171" t="s">
        <v>74</v>
      </c>
      <c r="AO171" t="s">
        <v>2161</v>
      </c>
      <c r="AP171" t="s">
        <v>2162</v>
      </c>
      <c r="AQ171" t="s">
        <v>74</v>
      </c>
      <c r="AR171" t="s">
        <v>74</v>
      </c>
      <c r="AS171" t="s">
        <v>74</v>
      </c>
      <c r="AT171" t="s">
        <v>3368</v>
      </c>
      <c r="AU171">
        <v>2019</v>
      </c>
      <c r="AV171">
        <v>19</v>
      </c>
      <c r="AW171">
        <v>3</v>
      </c>
      <c r="AX171" t="s">
        <v>74</v>
      </c>
      <c r="AY171" t="s">
        <v>74</v>
      </c>
      <c r="AZ171" t="s">
        <v>74</v>
      </c>
      <c r="BA171" t="s">
        <v>74</v>
      </c>
      <c r="BB171">
        <v>432</v>
      </c>
      <c r="BC171">
        <v>443</v>
      </c>
      <c r="BD171" t="s">
        <v>74</v>
      </c>
      <c r="BE171" t="s">
        <v>3369</v>
      </c>
      <c r="BF171" t="str">
        <f>HYPERLINK("http://dx.doi.org/10.1039/c8lc01193a","http://dx.doi.org/10.1039/c8lc01193a")</f>
        <v>http://dx.doi.org/10.1039/c8lc01193a</v>
      </c>
      <c r="BG171" t="s">
        <v>74</v>
      </c>
      <c r="BH171" t="s">
        <v>74</v>
      </c>
      <c r="BI171" t="s">
        <v>74</v>
      </c>
      <c r="BJ171" t="s">
        <v>2164</v>
      </c>
      <c r="BK171" t="s">
        <v>112</v>
      </c>
      <c r="BL171" t="s">
        <v>2165</v>
      </c>
      <c r="BM171" t="s">
        <v>74</v>
      </c>
      <c r="BN171">
        <v>30604797</v>
      </c>
      <c r="BO171" t="s">
        <v>74</v>
      </c>
      <c r="BP171" t="s">
        <v>74</v>
      </c>
      <c r="BQ171" t="s">
        <v>74</v>
      </c>
      <c r="BR171" t="s">
        <v>93</v>
      </c>
      <c r="BS171" t="s">
        <v>3370</v>
      </c>
      <c r="BT171" t="str">
        <f>HYPERLINK("https%3A%2F%2Fwww.webofscience.com%2Fwos%2Fwoscc%2Ffull-record%2FWOS:000459726100003","View Full Record in Web of Science")</f>
        <v>View Full Record in Web of Science</v>
      </c>
    </row>
    <row r="172" spans="1:72" x14ac:dyDescent="0.15">
      <c r="A172" t="s">
        <v>312</v>
      </c>
      <c r="B172" t="s">
        <v>4417</v>
      </c>
      <c r="C172" t="s">
        <v>74</v>
      </c>
      <c r="D172" t="s">
        <v>4418</v>
      </c>
      <c r="E172" t="s">
        <v>74</v>
      </c>
      <c r="F172" t="s">
        <v>4419</v>
      </c>
      <c r="G172" t="s">
        <v>74</v>
      </c>
      <c r="H172" t="s">
        <v>74</v>
      </c>
      <c r="I172" t="s">
        <v>4420</v>
      </c>
      <c r="J172" t="s">
        <v>4421</v>
      </c>
      <c r="K172" t="s">
        <v>318</v>
      </c>
      <c r="L172" t="s">
        <v>74</v>
      </c>
      <c r="M172" t="s">
        <v>74</v>
      </c>
      <c r="N172" t="s">
        <v>319</v>
      </c>
      <c r="O172" t="s">
        <v>74</v>
      </c>
      <c r="P172" t="s">
        <v>74</v>
      </c>
      <c r="Q172" t="s">
        <v>74</v>
      </c>
      <c r="R172" t="s">
        <v>74</v>
      </c>
      <c r="S172" t="s">
        <v>74</v>
      </c>
      <c r="T172" t="s">
        <v>4422</v>
      </c>
      <c r="U172" t="s">
        <v>4423</v>
      </c>
      <c r="V172" t="s">
        <v>4424</v>
      </c>
      <c r="W172" t="s">
        <v>4425</v>
      </c>
      <c r="X172" t="s">
        <v>4426</v>
      </c>
      <c r="Y172" t="s">
        <v>4427</v>
      </c>
      <c r="Z172" t="s">
        <v>74</v>
      </c>
      <c r="AA172" t="s">
        <v>74</v>
      </c>
      <c r="AB172" t="s">
        <v>74</v>
      </c>
      <c r="AC172" t="s">
        <v>74</v>
      </c>
      <c r="AD172" t="s">
        <v>74</v>
      </c>
      <c r="AE172" t="s">
        <v>74</v>
      </c>
      <c r="AF172" t="s">
        <v>74</v>
      </c>
      <c r="AG172">
        <v>300</v>
      </c>
      <c r="AH172">
        <v>39</v>
      </c>
      <c r="AI172">
        <v>39</v>
      </c>
      <c r="AJ172">
        <v>0</v>
      </c>
      <c r="AK172">
        <v>10</v>
      </c>
      <c r="AL172" t="s">
        <v>74</v>
      </c>
      <c r="AM172" t="s">
        <v>74</v>
      </c>
      <c r="AN172" t="s">
        <v>74</v>
      </c>
      <c r="AO172" t="s">
        <v>328</v>
      </c>
      <c r="AP172" t="s">
        <v>329</v>
      </c>
      <c r="AQ172" t="s">
        <v>4428</v>
      </c>
      <c r="AR172" t="s">
        <v>74</v>
      </c>
      <c r="AS172" t="s">
        <v>74</v>
      </c>
      <c r="AT172" t="s">
        <v>74</v>
      </c>
      <c r="AU172">
        <v>2016</v>
      </c>
      <c r="AV172">
        <v>1381</v>
      </c>
      <c r="AW172" t="s">
        <v>74</v>
      </c>
      <c r="AX172" t="s">
        <v>74</v>
      </c>
      <c r="AY172" t="s">
        <v>74</v>
      </c>
      <c r="AZ172" t="s">
        <v>74</v>
      </c>
      <c r="BA172" t="s">
        <v>74</v>
      </c>
      <c r="BB172">
        <v>111</v>
      </c>
      <c r="BC172">
        <v>149</v>
      </c>
      <c r="BD172" t="s">
        <v>74</v>
      </c>
      <c r="BE172" t="s">
        <v>4429</v>
      </c>
      <c r="BF172" t="str">
        <f>HYPERLINK("http://dx.doi.org/10.1007/978-1-4939-3204-7_7","http://dx.doi.org/10.1007/978-1-4939-3204-7_7")</f>
        <v>http://dx.doi.org/10.1007/978-1-4939-3204-7_7</v>
      </c>
      <c r="BG172" t="s">
        <v>4430</v>
      </c>
      <c r="BH172" t="s">
        <v>74</v>
      </c>
      <c r="BI172" t="s">
        <v>74</v>
      </c>
      <c r="BJ172" t="s">
        <v>333</v>
      </c>
      <c r="BK172" t="s">
        <v>334</v>
      </c>
      <c r="BL172" t="s">
        <v>188</v>
      </c>
      <c r="BM172" t="s">
        <v>74</v>
      </c>
      <c r="BN172">
        <v>26667458</v>
      </c>
      <c r="BO172" t="s">
        <v>74</v>
      </c>
      <c r="BP172" t="s">
        <v>74</v>
      </c>
      <c r="BQ172" t="s">
        <v>74</v>
      </c>
      <c r="BR172" t="s">
        <v>93</v>
      </c>
      <c r="BS172" t="s">
        <v>4431</v>
      </c>
      <c r="BT172" t="str">
        <f>HYPERLINK("https%3A%2F%2Fwww.webofscience.com%2Fwos%2Fwoscc%2Ffull-record%2FWOS:000687329200008","View Full Record in Web of Science")</f>
        <v>View Full Record in Web of Science</v>
      </c>
    </row>
    <row r="173" spans="1:72" x14ac:dyDescent="0.15">
      <c r="A173" t="s">
        <v>72</v>
      </c>
      <c r="B173" t="s">
        <v>5415</v>
      </c>
      <c r="C173" t="s">
        <v>74</v>
      </c>
      <c r="D173" t="s">
        <v>74</v>
      </c>
      <c r="E173" t="s">
        <v>74</v>
      </c>
      <c r="F173" t="s">
        <v>5416</v>
      </c>
      <c r="G173" t="s">
        <v>74</v>
      </c>
      <c r="H173" t="s">
        <v>74</v>
      </c>
      <c r="I173" t="s">
        <v>5417</v>
      </c>
      <c r="J173" t="s">
        <v>388</v>
      </c>
      <c r="K173" t="s">
        <v>74</v>
      </c>
      <c r="L173" t="s">
        <v>74</v>
      </c>
      <c r="M173" t="s">
        <v>74</v>
      </c>
      <c r="N173" t="s">
        <v>78</v>
      </c>
      <c r="O173" t="s">
        <v>74</v>
      </c>
      <c r="P173" t="s">
        <v>74</v>
      </c>
      <c r="Q173" t="s">
        <v>74</v>
      </c>
      <c r="R173" t="s">
        <v>74</v>
      </c>
      <c r="S173" t="s">
        <v>74</v>
      </c>
      <c r="T173" t="s">
        <v>5418</v>
      </c>
      <c r="U173" t="s">
        <v>5419</v>
      </c>
      <c r="V173" t="s">
        <v>5420</v>
      </c>
      <c r="W173" t="s">
        <v>5421</v>
      </c>
      <c r="X173" t="s">
        <v>5422</v>
      </c>
      <c r="Y173" t="s">
        <v>5423</v>
      </c>
      <c r="Z173" t="s">
        <v>5424</v>
      </c>
      <c r="AA173" t="s">
        <v>5425</v>
      </c>
      <c r="AB173" t="s">
        <v>5426</v>
      </c>
      <c r="AC173" t="s">
        <v>74</v>
      </c>
      <c r="AD173" t="s">
        <v>74</v>
      </c>
      <c r="AE173" t="s">
        <v>74</v>
      </c>
      <c r="AF173" t="s">
        <v>74</v>
      </c>
      <c r="AG173">
        <v>29</v>
      </c>
      <c r="AH173">
        <v>39</v>
      </c>
      <c r="AI173">
        <v>40</v>
      </c>
      <c r="AJ173">
        <v>0</v>
      </c>
      <c r="AK173">
        <v>21</v>
      </c>
      <c r="AL173" t="s">
        <v>74</v>
      </c>
      <c r="AM173" t="s">
        <v>74</v>
      </c>
      <c r="AN173" t="s">
        <v>74</v>
      </c>
      <c r="AO173" t="s">
        <v>398</v>
      </c>
      <c r="AP173" t="s">
        <v>74</v>
      </c>
      <c r="AQ173" t="s">
        <v>74</v>
      </c>
      <c r="AR173" t="s">
        <v>74</v>
      </c>
      <c r="AS173" t="s">
        <v>74</v>
      </c>
      <c r="AT173" t="s">
        <v>5427</v>
      </c>
      <c r="AU173">
        <v>2013</v>
      </c>
      <c r="AV173">
        <v>10</v>
      </c>
      <c r="AW173" t="s">
        <v>74</v>
      </c>
      <c r="AX173" t="s">
        <v>74</v>
      </c>
      <c r="AY173" t="s">
        <v>74</v>
      </c>
      <c r="AZ173" t="s">
        <v>74</v>
      </c>
      <c r="BA173" t="s">
        <v>74</v>
      </c>
      <c r="BB173" t="s">
        <v>74</v>
      </c>
      <c r="BC173" t="s">
        <v>74</v>
      </c>
      <c r="BD173">
        <v>119</v>
      </c>
      <c r="BE173" t="s">
        <v>5428</v>
      </c>
      <c r="BF173" t="str">
        <f>HYPERLINK("http://dx.doi.org/10.1186/1743-422X-10-119","http://dx.doi.org/10.1186/1743-422X-10-119")</f>
        <v>http://dx.doi.org/10.1186/1743-422X-10-119</v>
      </c>
      <c r="BG173" t="s">
        <v>74</v>
      </c>
      <c r="BH173" t="s">
        <v>74</v>
      </c>
      <c r="BI173" t="s">
        <v>74</v>
      </c>
      <c r="BJ173" t="s">
        <v>401</v>
      </c>
      <c r="BK173" t="s">
        <v>112</v>
      </c>
      <c r="BL173" t="s">
        <v>401</v>
      </c>
      <c r="BM173" t="s">
        <v>74</v>
      </c>
      <c r="BN173">
        <v>23590857</v>
      </c>
      <c r="BO173" t="s">
        <v>74</v>
      </c>
      <c r="BP173" t="s">
        <v>74</v>
      </c>
      <c r="BQ173" t="s">
        <v>74</v>
      </c>
      <c r="BR173" t="s">
        <v>93</v>
      </c>
      <c r="BS173" t="s">
        <v>5429</v>
      </c>
      <c r="BT173" t="str">
        <f>HYPERLINK("https%3A%2F%2Fwww.webofscience.com%2Fwos%2Fwoscc%2Ffull-record%2FWOS:000320517400001","View Full Record in Web of Science")</f>
        <v>View Full Record in Web of Science</v>
      </c>
    </row>
    <row r="174" spans="1:72" x14ac:dyDescent="0.15">
      <c r="A174" t="s">
        <v>72</v>
      </c>
      <c r="B174" t="s">
        <v>4592</v>
      </c>
      <c r="C174" t="s">
        <v>74</v>
      </c>
      <c r="D174" t="s">
        <v>74</v>
      </c>
      <c r="E174" t="s">
        <v>74</v>
      </c>
      <c r="F174" t="s">
        <v>4593</v>
      </c>
      <c r="G174" t="s">
        <v>74</v>
      </c>
      <c r="H174" t="s">
        <v>74</v>
      </c>
      <c r="I174" t="s">
        <v>4594</v>
      </c>
      <c r="J174" t="s">
        <v>2013</v>
      </c>
      <c r="K174" t="s">
        <v>74</v>
      </c>
      <c r="L174" t="s">
        <v>74</v>
      </c>
      <c r="M174" t="s">
        <v>74</v>
      </c>
      <c r="N174" t="s">
        <v>78</v>
      </c>
      <c r="O174" t="s">
        <v>74</v>
      </c>
      <c r="P174" t="s">
        <v>74</v>
      </c>
      <c r="Q174" t="s">
        <v>74</v>
      </c>
      <c r="R174" t="s">
        <v>74</v>
      </c>
      <c r="S174" t="s">
        <v>74</v>
      </c>
      <c r="T174" t="s">
        <v>74</v>
      </c>
      <c r="U174" t="s">
        <v>4595</v>
      </c>
      <c r="V174" t="s">
        <v>4596</v>
      </c>
      <c r="W174" t="s">
        <v>4597</v>
      </c>
      <c r="X174" t="s">
        <v>4598</v>
      </c>
      <c r="Y174" t="s">
        <v>4599</v>
      </c>
      <c r="Z174" t="s">
        <v>4600</v>
      </c>
      <c r="AA174" t="s">
        <v>4601</v>
      </c>
      <c r="AB174" t="s">
        <v>4602</v>
      </c>
      <c r="AC174" t="s">
        <v>74</v>
      </c>
      <c r="AD174" t="s">
        <v>74</v>
      </c>
      <c r="AE174" t="s">
        <v>74</v>
      </c>
      <c r="AF174" t="s">
        <v>74</v>
      </c>
      <c r="AG174">
        <v>31</v>
      </c>
      <c r="AH174">
        <v>38</v>
      </c>
      <c r="AI174">
        <v>38</v>
      </c>
      <c r="AJ174">
        <v>26</v>
      </c>
      <c r="AK174">
        <v>247</v>
      </c>
      <c r="AL174" t="s">
        <v>74</v>
      </c>
      <c r="AM174" t="s">
        <v>74</v>
      </c>
      <c r="AN174" t="s">
        <v>74</v>
      </c>
      <c r="AO174" t="s">
        <v>2022</v>
      </c>
      <c r="AP174" t="s">
        <v>2023</v>
      </c>
      <c r="AQ174" t="s">
        <v>74</v>
      </c>
      <c r="AR174" t="s">
        <v>74</v>
      </c>
      <c r="AS174" t="s">
        <v>74</v>
      </c>
      <c r="AT174" t="s">
        <v>4603</v>
      </c>
      <c r="AU174">
        <v>2018</v>
      </c>
      <c r="AV174">
        <v>90</v>
      </c>
      <c r="AW174">
        <v>11</v>
      </c>
      <c r="AX174" t="s">
        <v>74</v>
      </c>
      <c r="AY174" t="s">
        <v>74</v>
      </c>
      <c r="AZ174" t="s">
        <v>74</v>
      </c>
      <c r="BA174" t="s">
        <v>74</v>
      </c>
      <c r="BB174">
        <v>6556</v>
      </c>
      <c r="BC174">
        <v>6562</v>
      </c>
      <c r="BD174" t="s">
        <v>74</v>
      </c>
      <c r="BE174" t="s">
        <v>4604</v>
      </c>
      <c r="BF174" t="str">
        <f>HYPERLINK("http://dx.doi.org/10.1021/acs.analchem.8b00189","http://dx.doi.org/10.1021/acs.analchem.8b00189")</f>
        <v>http://dx.doi.org/10.1021/acs.analchem.8b00189</v>
      </c>
      <c r="BG174" t="s">
        <v>74</v>
      </c>
      <c r="BH174" t="s">
        <v>74</v>
      </c>
      <c r="BI174" t="s">
        <v>74</v>
      </c>
      <c r="BJ174" t="s">
        <v>1196</v>
      </c>
      <c r="BK174" t="s">
        <v>112</v>
      </c>
      <c r="BL174" t="s">
        <v>1197</v>
      </c>
      <c r="BM174" t="s">
        <v>74</v>
      </c>
      <c r="BN174">
        <v>29715009</v>
      </c>
      <c r="BO174" t="s">
        <v>74</v>
      </c>
      <c r="BP174" t="s">
        <v>74</v>
      </c>
      <c r="BQ174" t="s">
        <v>74</v>
      </c>
      <c r="BR174" t="s">
        <v>93</v>
      </c>
      <c r="BS174" t="s">
        <v>4605</v>
      </c>
      <c r="BT174" t="str">
        <f>HYPERLINK("https%3A%2F%2Fwww.webofscience.com%2Fwos%2Fwoscc%2Ffull-record%2FWOS:000434893200034","View Full Record in Web of Science")</f>
        <v>View Full Record in Web of Science</v>
      </c>
    </row>
    <row r="175" spans="1:72" x14ac:dyDescent="0.15">
      <c r="A175" t="s">
        <v>72</v>
      </c>
      <c r="B175" t="s">
        <v>5545</v>
      </c>
      <c r="C175" t="s">
        <v>74</v>
      </c>
      <c r="D175" t="s">
        <v>74</v>
      </c>
      <c r="E175" t="s">
        <v>74</v>
      </c>
      <c r="F175" t="s">
        <v>5546</v>
      </c>
      <c r="G175" t="s">
        <v>74</v>
      </c>
      <c r="H175" t="s">
        <v>74</v>
      </c>
      <c r="I175" t="s">
        <v>5547</v>
      </c>
      <c r="J175" t="s">
        <v>177</v>
      </c>
      <c r="K175" t="s">
        <v>74</v>
      </c>
      <c r="L175" t="s">
        <v>74</v>
      </c>
      <c r="M175" t="s">
        <v>74</v>
      </c>
      <c r="N175" t="s">
        <v>78</v>
      </c>
      <c r="O175" t="s">
        <v>74</v>
      </c>
      <c r="P175" t="s">
        <v>74</v>
      </c>
      <c r="Q175" t="s">
        <v>74</v>
      </c>
      <c r="R175" t="s">
        <v>74</v>
      </c>
      <c r="S175" t="s">
        <v>74</v>
      </c>
      <c r="T175" t="s">
        <v>5548</v>
      </c>
      <c r="U175" t="s">
        <v>5549</v>
      </c>
      <c r="V175" t="s">
        <v>5550</v>
      </c>
      <c r="W175" t="s">
        <v>5551</v>
      </c>
      <c r="X175" t="s">
        <v>5552</v>
      </c>
      <c r="Y175" t="s">
        <v>5553</v>
      </c>
      <c r="Z175" t="s">
        <v>5554</v>
      </c>
      <c r="AA175" t="s">
        <v>5555</v>
      </c>
      <c r="AB175" t="s">
        <v>5556</v>
      </c>
      <c r="AC175" t="s">
        <v>74</v>
      </c>
      <c r="AD175" t="s">
        <v>74</v>
      </c>
      <c r="AE175" t="s">
        <v>74</v>
      </c>
      <c r="AF175" t="s">
        <v>74</v>
      </c>
      <c r="AG175">
        <v>9</v>
      </c>
      <c r="AH175">
        <v>38</v>
      </c>
      <c r="AI175">
        <v>40</v>
      </c>
      <c r="AJ175">
        <v>2</v>
      </c>
      <c r="AK175">
        <v>18</v>
      </c>
      <c r="AL175" t="s">
        <v>74</v>
      </c>
      <c r="AM175" t="s">
        <v>74</v>
      </c>
      <c r="AN175" t="s">
        <v>74</v>
      </c>
      <c r="AO175" t="s">
        <v>185</v>
      </c>
      <c r="AP175" t="s">
        <v>74</v>
      </c>
      <c r="AQ175" t="s">
        <v>74</v>
      </c>
      <c r="AR175" t="s">
        <v>74</v>
      </c>
      <c r="AS175" t="s">
        <v>74</v>
      </c>
      <c r="AT175" t="s">
        <v>1822</v>
      </c>
      <c r="AU175">
        <v>2018</v>
      </c>
      <c r="AV175">
        <v>17</v>
      </c>
      <c r="AW175" t="s">
        <v>74</v>
      </c>
      <c r="AX175" t="s">
        <v>74</v>
      </c>
      <c r="AY175" t="s">
        <v>74</v>
      </c>
      <c r="AZ175" t="s">
        <v>74</v>
      </c>
      <c r="BA175" t="s">
        <v>74</v>
      </c>
      <c r="BB175" t="s">
        <v>74</v>
      </c>
      <c r="BC175" t="s">
        <v>74</v>
      </c>
      <c r="BD175">
        <v>128</v>
      </c>
      <c r="BE175" t="s">
        <v>5557</v>
      </c>
      <c r="BF175" t="str">
        <f>HYPERLINK("http://dx.doi.org/10.1186/s12943-018-0876-z","http://dx.doi.org/10.1186/s12943-018-0876-z")</f>
        <v>http://dx.doi.org/10.1186/s12943-018-0876-z</v>
      </c>
      <c r="BG175" t="s">
        <v>74</v>
      </c>
      <c r="BH175" t="s">
        <v>74</v>
      </c>
      <c r="BI175" t="s">
        <v>74</v>
      </c>
      <c r="BJ175" t="s">
        <v>188</v>
      </c>
      <c r="BK175" t="s">
        <v>112</v>
      </c>
      <c r="BL175" t="s">
        <v>188</v>
      </c>
      <c r="BM175" t="s">
        <v>74</v>
      </c>
      <c r="BN175">
        <v>30139385</v>
      </c>
      <c r="BO175" t="s">
        <v>74</v>
      </c>
      <c r="BP175" t="s">
        <v>74</v>
      </c>
      <c r="BQ175" t="s">
        <v>74</v>
      </c>
      <c r="BR175" t="s">
        <v>93</v>
      </c>
      <c r="BS175" t="s">
        <v>5558</v>
      </c>
      <c r="BT175" t="str">
        <f>HYPERLINK("https%3A%2F%2Fwww.webofscience.com%2Fwos%2Fwoscc%2Ffull-record%2FWOS:000442616900001","View Full Record in Web of Science")</f>
        <v>View Full Record in Web of Science</v>
      </c>
    </row>
    <row r="176" spans="1:72" x14ac:dyDescent="0.15">
      <c r="A176" t="s">
        <v>72</v>
      </c>
      <c r="B176" t="s">
        <v>6452</v>
      </c>
      <c r="C176" t="s">
        <v>74</v>
      </c>
      <c r="D176" t="s">
        <v>74</v>
      </c>
      <c r="E176" t="s">
        <v>74</v>
      </c>
      <c r="F176" t="s">
        <v>6453</v>
      </c>
      <c r="G176" t="s">
        <v>74</v>
      </c>
      <c r="H176" t="s">
        <v>74</v>
      </c>
      <c r="I176" t="s">
        <v>6454</v>
      </c>
      <c r="J176" t="s">
        <v>6455</v>
      </c>
      <c r="K176" t="s">
        <v>74</v>
      </c>
      <c r="L176" t="s">
        <v>74</v>
      </c>
      <c r="M176" t="s">
        <v>74</v>
      </c>
      <c r="N176" t="s">
        <v>78</v>
      </c>
      <c r="O176" t="s">
        <v>74</v>
      </c>
      <c r="P176" t="s">
        <v>74</v>
      </c>
      <c r="Q176" t="s">
        <v>74</v>
      </c>
      <c r="R176" t="s">
        <v>74</v>
      </c>
      <c r="S176" t="s">
        <v>74</v>
      </c>
      <c r="T176" t="s">
        <v>74</v>
      </c>
      <c r="U176" t="s">
        <v>6456</v>
      </c>
      <c r="V176" t="s">
        <v>6457</v>
      </c>
      <c r="W176" t="s">
        <v>6458</v>
      </c>
      <c r="X176" t="s">
        <v>6459</v>
      </c>
      <c r="Y176" t="s">
        <v>6460</v>
      </c>
      <c r="Z176" t="s">
        <v>6461</v>
      </c>
      <c r="AA176" t="s">
        <v>6462</v>
      </c>
      <c r="AB176" t="s">
        <v>6463</v>
      </c>
      <c r="AC176" t="s">
        <v>74</v>
      </c>
      <c r="AD176" t="s">
        <v>74</v>
      </c>
      <c r="AE176" t="s">
        <v>74</v>
      </c>
      <c r="AF176" t="s">
        <v>74</v>
      </c>
      <c r="AG176">
        <v>40</v>
      </c>
      <c r="AH176">
        <v>38</v>
      </c>
      <c r="AI176">
        <v>38</v>
      </c>
      <c r="AJ176">
        <v>2</v>
      </c>
      <c r="AK176">
        <v>12</v>
      </c>
      <c r="AL176" t="s">
        <v>74</v>
      </c>
      <c r="AM176" t="s">
        <v>74</v>
      </c>
      <c r="AN176" t="s">
        <v>74</v>
      </c>
      <c r="AO176" t="s">
        <v>6464</v>
      </c>
      <c r="AP176" t="s">
        <v>6465</v>
      </c>
      <c r="AQ176" t="s">
        <v>74</v>
      </c>
      <c r="AR176" t="s">
        <v>74</v>
      </c>
      <c r="AS176" t="s">
        <v>74</v>
      </c>
      <c r="AT176" t="s">
        <v>503</v>
      </c>
      <c r="AU176">
        <v>2018</v>
      </c>
      <c r="AV176">
        <v>64</v>
      </c>
      <c r="AW176">
        <v>7</v>
      </c>
      <c r="AX176" t="s">
        <v>74</v>
      </c>
      <c r="AY176" t="s">
        <v>74</v>
      </c>
      <c r="AZ176" t="s">
        <v>74</v>
      </c>
      <c r="BA176" t="s">
        <v>74</v>
      </c>
      <c r="BB176">
        <v>1054</v>
      </c>
      <c r="BC176">
        <v>1062</v>
      </c>
      <c r="BD176" t="s">
        <v>74</v>
      </c>
      <c r="BE176" t="s">
        <v>6466</v>
      </c>
      <c r="BF176" t="str">
        <f>HYPERLINK("http://dx.doi.org/10.1373/clinchem.2017.283531","http://dx.doi.org/10.1373/clinchem.2017.283531")</f>
        <v>http://dx.doi.org/10.1373/clinchem.2017.283531</v>
      </c>
      <c r="BG176" t="s">
        <v>74</v>
      </c>
      <c r="BH176" t="s">
        <v>74</v>
      </c>
      <c r="BI176" t="s">
        <v>74</v>
      </c>
      <c r="BJ176" t="s">
        <v>1214</v>
      </c>
      <c r="BK176" t="s">
        <v>112</v>
      </c>
      <c r="BL176" t="s">
        <v>1214</v>
      </c>
      <c r="BM176" t="s">
        <v>74</v>
      </c>
      <c r="BN176">
        <v>29769179</v>
      </c>
      <c r="BO176" t="s">
        <v>74</v>
      </c>
      <c r="BP176" t="s">
        <v>74</v>
      </c>
      <c r="BQ176" t="s">
        <v>74</v>
      </c>
      <c r="BR176" t="s">
        <v>93</v>
      </c>
      <c r="BS176" t="s">
        <v>6467</v>
      </c>
      <c r="BT176" t="str">
        <f>HYPERLINK("https%3A%2F%2Fwww.webofscience.com%2Fwos%2Fwoscc%2Ffull-record%2FWOS:000448294200010","View Full Record in Web of Science")</f>
        <v>View Full Record in Web of Science</v>
      </c>
    </row>
    <row r="177" spans="1:72" x14ac:dyDescent="0.15">
      <c r="A177" t="s">
        <v>72</v>
      </c>
      <c r="B177" t="s">
        <v>9481</v>
      </c>
      <c r="C177" t="s">
        <v>74</v>
      </c>
      <c r="D177" t="s">
        <v>74</v>
      </c>
      <c r="E177" t="s">
        <v>74</v>
      </c>
      <c r="F177" t="s">
        <v>9481</v>
      </c>
      <c r="G177" t="s">
        <v>74</v>
      </c>
      <c r="H177" t="s">
        <v>74</v>
      </c>
      <c r="I177" t="s">
        <v>9482</v>
      </c>
      <c r="J177" t="s">
        <v>9483</v>
      </c>
      <c r="K177" t="s">
        <v>74</v>
      </c>
      <c r="L177" t="s">
        <v>74</v>
      </c>
      <c r="M177" t="s">
        <v>74</v>
      </c>
      <c r="N177" t="s">
        <v>78</v>
      </c>
      <c r="O177" t="s">
        <v>74</v>
      </c>
      <c r="P177" t="s">
        <v>74</v>
      </c>
      <c r="Q177" t="s">
        <v>74</v>
      </c>
      <c r="R177" t="s">
        <v>74</v>
      </c>
      <c r="S177" t="s">
        <v>74</v>
      </c>
      <c r="T177" t="s">
        <v>9484</v>
      </c>
      <c r="U177" t="s">
        <v>9485</v>
      </c>
      <c r="V177" t="s">
        <v>9486</v>
      </c>
      <c r="W177" t="s">
        <v>9487</v>
      </c>
      <c r="X177" t="s">
        <v>9488</v>
      </c>
      <c r="Y177" t="s">
        <v>74</v>
      </c>
      <c r="Z177" t="s">
        <v>74</v>
      </c>
      <c r="AA177" t="s">
        <v>9489</v>
      </c>
      <c r="AB177" t="s">
        <v>9490</v>
      </c>
      <c r="AC177" t="s">
        <v>74</v>
      </c>
      <c r="AD177" t="s">
        <v>74</v>
      </c>
      <c r="AE177" t="s">
        <v>74</v>
      </c>
      <c r="AF177" t="s">
        <v>74</v>
      </c>
      <c r="AG177">
        <v>40</v>
      </c>
      <c r="AH177">
        <v>38</v>
      </c>
      <c r="AI177">
        <v>39</v>
      </c>
      <c r="AJ177">
        <v>0</v>
      </c>
      <c r="AK177">
        <v>1</v>
      </c>
      <c r="AL177" t="s">
        <v>74</v>
      </c>
      <c r="AM177" t="s">
        <v>74</v>
      </c>
      <c r="AN177" t="s">
        <v>74</v>
      </c>
      <c r="AO177" t="s">
        <v>9491</v>
      </c>
      <c r="AP177" t="s">
        <v>74</v>
      </c>
      <c r="AQ177" t="s">
        <v>74</v>
      </c>
      <c r="AR177" t="s">
        <v>74</v>
      </c>
      <c r="AS177" t="s">
        <v>74</v>
      </c>
      <c r="AT177" t="s">
        <v>437</v>
      </c>
      <c r="AU177">
        <v>1997</v>
      </c>
      <c r="AV177">
        <v>69</v>
      </c>
      <c r="AW177">
        <v>4</v>
      </c>
      <c r="AX177" t="s">
        <v>74</v>
      </c>
      <c r="AY177" t="s">
        <v>74</v>
      </c>
      <c r="AZ177" t="s">
        <v>74</v>
      </c>
      <c r="BA177" t="s">
        <v>74</v>
      </c>
      <c r="BB177">
        <v>1491</v>
      </c>
      <c r="BC177">
        <v>1498</v>
      </c>
      <c r="BD177" t="s">
        <v>74</v>
      </c>
      <c r="BE177" t="s">
        <v>74</v>
      </c>
      <c r="BF177" t="s">
        <v>74</v>
      </c>
      <c r="BG177" t="s">
        <v>74</v>
      </c>
      <c r="BH177" t="s">
        <v>74</v>
      </c>
      <c r="BI177" t="s">
        <v>74</v>
      </c>
      <c r="BJ177" t="s">
        <v>2719</v>
      </c>
      <c r="BK177" t="s">
        <v>112</v>
      </c>
      <c r="BL177" t="s">
        <v>2720</v>
      </c>
      <c r="BM177" t="s">
        <v>74</v>
      </c>
      <c r="BN177">
        <v>9326278</v>
      </c>
      <c r="BO177" t="s">
        <v>74</v>
      </c>
      <c r="BP177" t="s">
        <v>74</v>
      </c>
      <c r="BQ177" t="s">
        <v>74</v>
      </c>
      <c r="BR177" t="s">
        <v>93</v>
      </c>
      <c r="BS177" t="s">
        <v>9492</v>
      </c>
      <c r="BT177" t="str">
        <f>HYPERLINK("https%3A%2F%2Fwww.webofscience.com%2Fwos%2Fwoscc%2Ffull-record%2FWOS:A1997XX05700018","View Full Record in Web of Science")</f>
        <v>View Full Record in Web of Science</v>
      </c>
    </row>
    <row r="178" spans="1:72" x14ac:dyDescent="0.15">
      <c r="A178" t="s">
        <v>72</v>
      </c>
      <c r="B178" t="s">
        <v>529</v>
      </c>
      <c r="C178" t="s">
        <v>74</v>
      </c>
      <c r="D178" t="s">
        <v>74</v>
      </c>
      <c r="E178" t="s">
        <v>74</v>
      </c>
      <c r="F178" t="s">
        <v>530</v>
      </c>
      <c r="G178" t="s">
        <v>74</v>
      </c>
      <c r="H178" t="s">
        <v>74</v>
      </c>
      <c r="I178" t="s">
        <v>531</v>
      </c>
      <c r="J178" t="s">
        <v>532</v>
      </c>
      <c r="K178" t="s">
        <v>74</v>
      </c>
      <c r="L178" t="s">
        <v>74</v>
      </c>
      <c r="M178" t="s">
        <v>74</v>
      </c>
      <c r="N178" t="s">
        <v>78</v>
      </c>
      <c r="O178" t="s">
        <v>74</v>
      </c>
      <c r="P178" t="s">
        <v>74</v>
      </c>
      <c r="Q178" t="s">
        <v>74</v>
      </c>
      <c r="R178" t="s">
        <v>74</v>
      </c>
      <c r="S178" t="s">
        <v>74</v>
      </c>
      <c r="T178" t="s">
        <v>533</v>
      </c>
      <c r="U178" t="s">
        <v>534</v>
      </c>
      <c r="V178" t="s">
        <v>535</v>
      </c>
      <c r="W178" t="s">
        <v>536</v>
      </c>
      <c r="X178" t="s">
        <v>537</v>
      </c>
      <c r="Y178" t="s">
        <v>538</v>
      </c>
      <c r="Z178" t="s">
        <v>539</v>
      </c>
      <c r="AA178" t="s">
        <v>540</v>
      </c>
      <c r="AB178" t="s">
        <v>541</v>
      </c>
      <c r="AC178" t="s">
        <v>74</v>
      </c>
      <c r="AD178" t="s">
        <v>74</v>
      </c>
      <c r="AE178" t="s">
        <v>74</v>
      </c>
      <c r="AF178" t="s">
        <v>74</v>
      </c>
      <c r="AG178">
        <v>32</v>
      </c>
      <c r="AH178">
        <v>37</v>
      </c>
      <c r="AI178">
        <v>37</v>
      </c>
      <c r="AJ178">
        <v>0</v>
      </c>
      <c r="AK178">
        <v>6</v>
      </c>
      <c r="AL178" t="s">
        <v>74</v>
      </c>
      <c r="AM178" t="s">
        <v>74</v>
      </c>
      <c r="AN178" t="s">
        <v>74</v>
      </c>
      <c r="AO178" t="s">
        <v>542</v>
      </c>
      <c r="AP178" t="s">
        <v>74</v>
      </c>
      <c r="AQ178" t="s">
        <v>74</v>
      </c>
      <c r="AR178" t="s">
        <v>74</v>
      </c>
      <c r="AS178" t="s">
        <v>74</v>
      </c>
      <c r="AT178" t="s">
        <v>108</v>
      </c>
      <c r="AU178">
        <v>2017</v>
      </c>
      <c r="AV178" t="s">
        <v>74</v>
      </c>
      <c r="AW178">
        <v>119</v>
      </c>
      <c r="AX178" t="s">
        <v>74</v>
      </c>
      <c r="AY178" t="s">
        <v>74</v>
      </c>
      <c r="AZ178" t="s">
        <v>74</v>
      </c>
      <c r="BA178" t="s">
        <v>74</v>
      </c>
      <c r="BB178" t="s">
        <v>74</v>
      </c>
      <c r="BC178" t="s">
        <v>74</v>
      </c>
      <c r="BD178" t="s">
        <v>543</v>
      </c>
      <c r="BE178" t="s">
        <v>544</v>
      </c>
      <c r="BF178" t="str">
        <f>HYPERLINK("http://dx.doi.org/10.3791/55057","http://dx.doi.org/10.3791/55057")</f>
        <v>http://dx.doi.org/10.3791/55057</v>
      </c>
      <c r="BG178" t="s">
        <v>74</v>
      </c>
      <c r="BH178" t="s">
        <v>74</v>
      </c>
      <c r="BI178" t="s">
        <v>74</v>
      </c>
      <c r="BJ178" t="s">
        <v>545</v>
      </c>
      <c r="BK178" t="s">
        <v>112</v>
      </c>
      <c r="BL178" t="s">
        <v>546</v>
      </c>
      <c r="BM178" t="s">
        <v>74</v>
      </c>
      <c r="BN178">
        <v>28117819</v>
      </c>
      <c r="BO178" t="s">
        <v>74</v>
      </c>
      <c r="BP178" t="s">
        <v>74</v>
      </c>
      <c r="BQ178" t="s">
        <v>74</v>
      </c>
      <c r="BR178" t="s">
        <v>93</v>
      </c>
      <c r="BS178" t="s">
        <v>547</v>
      </c>
      <c r="BT178" t="str">
        <f>HYPERLINK("https%3A%2F%2Fwww.webofscience.com%2Fwos%2Fwoscc%2Ffull-record%2FWOS:000397847200045","View Full Record in Web of Science")</f>
        <v>View Full Record in Web of Science</v>
      </c>
    </row>
    <row r="179" spans="1:72" x14ac:dyDescent="0.15">
      <c r="A179" t="s">
        <v>72</v>
      </c>
      <c r="B179" t="s">
        <v>3499</v>
      </c>
      <c r="C179" t="s">
        <v>74</v>
      </c>
      <c r="D179" t="s">
        <v>74</v>
      </c>
      <c r="E179" t="s">
        <v>74</v>
      </c>
      <c r="F179" t="s">
        <v>3500</v>
      </c>
      <c r="G179" t="s">
        <v>74</v>
      </c>
      <c r="H179" t="s">
        <v>74</v>
      </c>
      <c r="I179" t="s">
        <v>3501</v>
      </c>
      <c r="J179" t="s">
        <v>3502</v>
      </c>
      <c r="K179" t="s">
        <v>74</v>
      </c>
      <c r="L179" t="s">
        <v>74</v>
      </c>
      <c r="M179" t="s">
        <v>74</v>
      </c>
      <c r="N179" t="s">
        <v>78</v>
      </c>
      <c r="O179" t="s">
        <v>74</v>
      </c>
      <c r="P179" t="s">
        <v>74</v>
      </c>
      <c r="Q179" t="s">
        <v>74</v>
      </c>
      <c r="R179" t="s">
        <v>74</v>
      </c>
      <c r="S179" t="s">
        <v>74</v>
      </c>
      <c r="T179" t="s">
        <v>3503</v>
      </c>
      <c r="U179" t="s">
        <v>3504</v>
      </c>
      <c r="V179" t="s">
        <v>3505</v>
      </c>
      <c r="W179" t="s">
        <v>3506</v>
      </c>
      <c r="X179" t="s">
        <v>3507</v>
      </c>
      <c r="Y179" t="s">
        <v>3508</v>
      </c>
      <c r="Z179" t="s">
        <v>3509</v>
      </c>
      <c r="AA179" t="s">
        <v>3510</v>
      </c>
      <c r="AB179" t="s">
        <v>3511</v>
      </c>
      <c r="AC179" t="s">
        <v>74</v>
      </c>
      <c r="AD179" t="s">
        <v>74</v>
      </c>
      <c r="AE179" t="s">
        <v>74</v>
      </c>
      <c r="AF179" t="s">
        <v>74</v>
      </c>
      <c r="AG179">
        <v>44</v>
      </c>
      <c r="AH179">
        <v>37</v>
      </c>
      <c r="AI179">
        <v>39</v>
      </c>
      <c r="AJ179">
        <v>1</v>
      </c>
      <c r="AK179">
        <v>6</v>
      </c>
      <c r="AL179" t="s">
        <v>74</v>
      </c>
      <c r="AM179" t="s">
        <v>74</v>
      </c>
      <c r="AN179" t="s">
        <v>74</v>
      </c>
      <c r="AO179" t="s">
        <v>3512</v>
      </c>
      <c r="AP179" t="s">
        <v>74</v>
      </c>
      <c r="AQ179" t="s">
        <v>74</v>
      </c>
      <c r="AR179" t="s">
        <v>74</v>
      </c>
      <c r="AS179" t="s">
        <v>74</v>
      </c>
      <c r="AT179" t="s">
        <v>3513</v>
      </c>
      <c r="AU179">
        <v>2018</v>
      </c>
      <c r="AV179">
        <v>9</v>
      </c>
      <c r="AW179">
        <v>5</v>
      </c>
      <c r="AX179" t="s">
        <v>74</v>
      </c>
      <c r="AY179" t="s">
        <v>74</v>
      </c>
      <c r="AZ179" t="s">
        <v>74</v>
      </c>
      <c r="BA179" t="s">
        <v>74</v>
      </c>
      <c r="BB179" t="s">
        <v>74</v>
      </c>
      <c r="BC179" t="s">
        <v>74</v>
      </c>
      <c r="BD179" t="s">
        <v>3514</v>
      </c>
      <c r="BE179" t="s">
        <v>3515</v>
      </c>
      <c r="BF179" t="str">
        <f>HYPERLINK("http://dx.doi.org/10.1128/mBio.00757-18","http://dx.doi.org/10.1128/mBio.00757-18")</f>
        <v>http://dx.doi.org/10.1128/mBio.00757-18</v>
      </c>
      <c r="BG179" t="s">
        <v>74</v>
      </c>
      <c r="BH179" t="s">
        <v>74</v>
      </c>
      <c r="BI179" t="s">
        <v>74</v>
      </c>
      <c r="BJ179" t="s">
        <v>1699</v>
      </c>
      <c r="BK179" t="s">
        <v>112</v>
      </c>
      <c r="BL179" t="s">
        <v>1699</v>
      </c>
      <c r="BM179" t="s">
        <v>74</v>
      </c>
      <c r="BN179">
        <v>30206166</v>
      </c>
      <c r="BO179" t="s">
        <v>74</v>
      </c>
      <c r="BP179" t="s">
        <v>74</v>
      </c>
      <c r="BQ179" t="s">
        <v>74</v>
      </c>
      <c r="BR179" t="s">
        <v>93</v>
      </c>
      <c r="BS179" t="s">
        <v>3516</v>
      </c>
      <c r="BT179" t="str">
        <f>HYPERLINK("https%3A%2F%2Fwww.webofscience.com%2Fwos%2Fwoscc%2Ffull-record%2FWOS:000449472200001","View Full Record in Web of Science")</f>
        <v>View Full Record in Web of Science</v>
      </c>
    </row>
    <row r="180" spans="1:72" x14ac:dyDescent="0.15">
      <c r="A180" t="s">
        <v>72</v>
      </c>
      <c r="B180" t="s">
        <v>6724</v>
      </c>
      <c r="C180" t="s">
        <v>74</v>
      </c>
      <c r="D180" t="s">
        <v>74</v>
      </c>
      <c r="E180" t="s">
        <v>74</v>
      </c>
      <c r="F180" t="s">
        <v>6725</v>
      </c>
      <c r="G180" t="s">
        <v>74</v>
      </c>
      <c r="H180" t="s">
        <v>74</v>
      </c>
      <c r="I180" t="s">
        <v>6726</v>
      </c>
      <c r="J180" t="s">
        <v>2013</v>
      </c>
      <c r="K180" t="s">
        <v>74</v>
      </c>
      <c r="L180" t="s">
        <v>74</v>
      </c>
      <c r="M180" t="s">
        <v>74</v>
      </c>
      <c r="N180" t="s">
        <v>78</v>
      </c>
      <c r="O180" t="s">
        <v>74</v>
      </c>
      <c r="P180" t="s">
        <v>74</v>
      </c>
      <c r="Q180" t="s">
        <v>74</v>
      </c>
      <c r="R180" t="s">
        <v>74</v>
      </c>
      <c r="S180" t="s">
        <v>74</v>
      </c>
      <c r="T180" t="s">
        <v>74</v>
      </c>
      <c r="U180" t="s">
        <v>74</v>
      </c>
      <c r="V180" t="s">
        <v>6727</v>
      </c>
      <c r="W180" t="s">
        <v>6728</v>
      </c>
      <c r="X180" t="s">
        <v>6729</v>
      </c>
      <c r="Y180" t="s">
        <v>6730</v>
      </c>
      <c r="Z180" t="s">
        <v>6731</v>
      </c>
      <c r="AA180" t="s">
        <v>74</v>
      </c>
      <c r="AB180" t="s">
        <v>74</v>
      </c>
      <c r="AC180" t="s">
        <v>74</v>
      </c>
      <c r="AD180" t="s">
        <v>74</v>
      </c>
      <c r="AE180" t="s">
        <v>74</v>
      </c>
      <c r="AF180" t="s">
        <v>74</v>
      </c>
      <c r="AG180">
        <v>45</v>
      </c>
      <c r="AH180">
        <v>37</v>
      </c>
      <c r="AI180">
        <v>36</v>
      </c>
      <c r="AJ180">
        <v>39</v>
      </c>
      <c r="AK180">
        <v>165</v>
      </c>
      <c r="AL180" t="s">
        <v>74</v>
      </c>
      <c r="AM180" t="s">
        <v>74</v>
      </c>
      <c r="AN180" t="s">
        <v>74</v>
      </c>
      <c r="AO180" t="s">
        <v>2022</v>
      </c>
      <c r="AP180" t="s">
        <v>2023</v>
      </c>
      <c r="AQ180" t="s">
        <v>74</v>
      </c>
      <c r="AR180" t="s">
        <v>74</v>
      </c>
      <c r="AS180" t="s">
        <v>74</v>
      </c>
      <c r="AT180" t="s">
        <v>6732</v>
      </c>
      <c r="AU180">
        <v>2021</v>
      </c>
      <c r="AV180">
        <v>93</v>
      </c>
      <c r="AW180">
        <v>3</v>
      </c>
      <c r="AX180" t="s">
        <v>74</v>
      </c>
      <c r="AY180" t="s">
        <v>74</v>
      </c>
      <c r="AZ180" t="s">
        <v>74</v>
      </c>
      <c r="BA180" t="s">
        <v>74</v>
      </c>
      <c r="BB180">
        <v>1709</v>
      </c>
      <c r="BC180">
        <v>1716</v>
      </c>
      <c r="BD180" t="s">
        <v>74</v>
      </c>
      <c r="BE180" t="s">
        <v>6733</v>
      </c>
      <c r="BF180" t="str">
        <f>HYPERLINK("http://dx.doi.org/10.1021/acs.analchem.0c04308","http://dx.doi.org/10.1021/acs.analchem.0c04308")</f>
        <v>http://dx.doi.org/10.1021/acs.analchem.0c04308</v>
      </c>
      <c r="BG180" t="s">
        <v>74</v>
      </c>
      <c r="BH180" t="s">
        <v>74</v>
      </c>
      <c r="BI180" t="s">
        <v>74</v>
      </c>
      <c r="BJ180" t="s">
        <v>1196</v>
      </c>
      <c r="BK180" t="s">
        <v>112</v>
      </c>
      <c r="BL180" t="s">
        <v>1197</v>
      </c>
      <c r="BM180" t="s">
        <v>74</v>
      </c>
      <c r="BN180">
        <v>33369394</v>
      </c>
      <c r="BO180" t="s">
        <v>74</v>
      </c>
      <c r="BP180" t="s">
        <v>420</v>
      </c>
      <c r="BQ180" t="s">
        <v>421</v>
      </c>
      <c r="BR180" t="s">
        <v>93</v>
      </c>
      <c r="BS180" t="s">
        <v>6734</v>
      </c>
      <c r="BT180" t="str">
        <f>HYPERLINK("https%3A%2F%2Fwww.webofscience.com%2Fwos%2Fwoscc%2Ffull-record%2FWOS:000613922400065","View Full Record in Web of Science")</f>
        <v>View Full Record in Web of Science</v>
      </c>
    </row>
    <row r="181" spans="1:72" x14ac:dyDescent="0.15">
      <c r="A181" t="s">
        <v>72</v>
      </c>
      <c r="B181" t="s">
        <v>6851</v>
      </c>
      <c r="C181" t="s">
        <v>74</v>
      </c>
      <c r="D181" t="s">
        <v>74</v>
      </c>
      <c r="E181" t="s">
        <v>74</v>
      </c>
      <c r="F181" t="s">
        <v>6852</v>
      </c>
      <c r="G181" t="s">
        <v>74</v>
      </c>
      <c r="H181" t="s">
        <v>74</v>
      </c>
      <c r="I181" t="s">
        <v>6853</v>
      </c>
      <c r="J181" t="s">
        <v>6854</v>
      </c>
      <c r="K181" t="s">
        <v>74</v>
      </c>
      <c r="L181" t="s">
        <v>74</v>
      </c>
      <c r="M181" t="s">
        <v>74</v>
      </c>
      <c r="N181" t="s">
        <v>78</v>
      </c>
      <c r="O181" t="s">
        <v>74</v>
      </c>
      <c r="P181" t="s">
        <v>74</v>
      </c>
      <c r="Q181" t="s">
        <v>74</v>
      </c>
      <c r="R181" t="s">
        <v>74</v>
      </c>
      <c r="S181" t="s">
        <v>74</v>
      </c>
      <c r="T181" t="s">
        <v>74</v>
      </c>
      <c r="U181" t="s">
        <v>6855</v>
      </c>
      <c r="V181" t="s">
        <v>6856</v>
      </c>
      <c r="W181" t="s">
        <v>6857</v>
      </c>
      <c r="X181" t="s">
        <v>6858</v>
      </c>
      <c r="Y181" t="s">
        <v>6859</v>
      </c>
      <c r="Z181" t="s">
        <v>6860</v>
      </c>
      <c r="AA181" t="s">
        <v>6861</v>
      </c>
      <c r="AB181" t="s">
        <v>6862</v>
      </c>
      <c r="AC181" t="s">
        <v>74</v>
      </c>
      <c r="AD181" t="s">
        <v>74</v>
      </c>
      <c r="AE181" t="s">
        <v>74</v>
      </c>
      <c r="AF181" t="s">
        <v>74</v>
      </c>
      <c r="AG181">
        <v>67</v>
      </c>
      <c r="AH181">
        <v>37</v>
      </c>
      <c r="AI181">
        <v>37</v>
      </c>
      <c r="AJ181">
        <v>16</v>
      </c>
      <c r="AK181">
        <v>156</v>
      </c>
      <c r="AL181" t="s">
        <v>74</v>
      </c>
      <c r="AM181" t="s">
        <v>74</v>
      </c>
      <c r="AN181" t="s">
        <v>74</v>
      </c>
      <c r="AO181" t="s">
        <v>6863</v>
      </c>
      <c r="AP181" t="s">
        <v>6864</v>
      </c>
      <c r="AQ181" t="s">
        <v>74</v>
      </c>
      <c r="AR181" t="s">
        <v>74</v>
      </c>
      <c r="AS181" t="s">
        <v>74</v>
      </c>
      <c r="AT181" t="s">
        <v>5833</v>
      </c>
      <c r="AU181">
        <v>2019</v>
      </c>
      <c r="AV181">
        <v>144</v>
      </c>
      <c r="AW181">
        <v>11</v>
      </c>
      <c r="AX181" t="s">
        <v>74</v>
      </c>
      <c r="AY181" t="s">
        <v>74</v>
      </c>
      <c r="AZ181" t="s">
        <v>74</v>
      </c>
      <c r="BA181" t="s">
        <v>74</v>
      </c>
      <c r="BB181">
        <v>3668</v>
      </c>
      <c r="BC181">
        <v>3675</v>
      </c>
      <c r="BD181" t="s">
        <v>74</v>
      </c>
      <c r="BE181" t="s">
        <v>6865</v>
      </c>
      <c r="BF181" t="str">
        <f>HYPERLINK("http://dx.doi.org/10.1039/c9an00181f","http://dx.doi.org/10.1039/c9an00181f")</f>
        <v>http://dx.doi.org/10.1039/c9an00181f</v>
      </c>
      <c r="BG181" t="s">
        <v>74</v>
      </c>
      <c r="BH181" t="s">
        <v>74</v>
      </c>
      <c r="BI181" t="s">
        <v>74</v>
      </c>
      <c r="BJ181" t="s">
        <v>1196</v>
      </c>
      <c r="BK181" t="s">
        <v>112</v>
      </c>
      <c r="BL181" t="s">
        <v>1197</v>
      </c>
      <c r="BM181" t="s">
        <v>74</v>
      </c>
      <c r="BN181">
        <v>31086892</v>
      </c>
      <c r="BO181" t="s">
        <v>74</v>
      </c>
      <c r="BP181" t="s">
        <v>74</v>
      </c>
      <c r="BQ181" t="s">
        <v>74</v>
      </c>
      <c r="BR181" t="s">
        <v>93</v>
      </c>
      <c r="BS181" t="s">
        <v>6866</v>
      </c>
      <c r="BT181" t="str">
        <f>HYPERLINK("https%3A%2F%2Fwww.webofscience.com%2Fwos%2Fwoscc%2Ffull-record%2FWOS:000474061200025","View Full Record in Web of Science")</f>
        <v>View Full Record in Web of Science</v>
      </c>
    </row>
    <row r="182" spans="1:72" x14ac:dyDescent="0.15">
      <c r="A182" t="s">
        <v>72</v>
      </c>
      <c r="B182" t="s">
        <v>7084</v>
      </c>
      <c r="C182" t="s">
        <v>74</v>
      </c>
      <c r="D182" t="s">
        <v>74</v>
      </c>
      <c r="E182" t="s">
        <v>74</v>
      </c>
      <c r="F182" t="s">
        <v>7085</v>
      </c>
      <c r="G182" t="s">
        <v>74</v>
      </c>
      <c r="H182" t="s">
        <v>74</v>
      </c>
      <c r="I182" t="s">
        <v>7086</v>
      </c>
      <c r="J182" t="s">
        <v>7087</v>
      </c>
      <c r="K182" t="s">
        <v>74</v>
      </c>
      <c r="L182" t="s">
        <v>74</v>
      </c>
      <c r="M182" t="s">
        <v>74</v>
      </c>
      <c r="N182" t="s">
        <v>78</v>
      </c>
      <c r="O182" t="s">
        <v>74</v>
      </c>
      <c r="P182" t="s">
        <v>74</v>
      </c>
      <c r="Q182" t="s">
        <v>74</v>
      </c>
      <c r="R182" t="s">
        <v>74</v>
      </c>
      <c r="S182" t="s">
        <v>74</v>
      </c>
      <c r="T182" t="s">
        <v>7088</v>
      </c>
      <c r="U182" t="s">
        <v>7089</v>
      </c>
      <c r="V182" t="s">
        <v>7090</v>
      </c>
      <c r="W182" t="s">
        <v>7091</v>
      </c>
      <c r="X182" t="s">
        <v>7092</v>
      </c>
      <c r="Y182" t="s">
        <v>7093</v>
      </c>
      <c r="Z182" t="s">
        <v>7094</v>
      </c>
      <c r="AA182" t="s">
        <v>7095</v>
      </c>
      <c r="AB182" t="s">
        <v>7096</v>
      </c>
      <c r="AC182" t="s">
        <v>74</v>
      </c>
      <c r="AD182" t="s">
        <v>74</v>
      </c>
      <c r="AE182" t="s">
        <v>74</v>
      </c>
      <c r="AF182" t="s">
        <v>74</v>
      </c>
      <c r="AG182">
        <v>52</v>
      </c>
      <c r="AH182">
        <v>37</v>
      </c>
      <c r="AI182">
        <v>37</v>
      </c>
      <c r="AJ182">
        <v>4</v>
      </c>
      <c r="AK182">
        <v>17</v>
      </c>
      <c r="AL182" t="s">
        <v>74</v>
      </c>
      <c r="AM182" t="s">
        <v>74</v>
      </c>
      <c r="AN182" t="s">
        <v>74</v>
      </c>
      <c r="AO182" t="s">
        <v>7097</v>
      </c>
      <c r="AP182" t="s">
        <v>7098</v>
      </c>
      <c r="AQ182" t="s">
        <v>74</v>
      </c>
      <c r="AR182" t="s">
        <v>74</v>
      </c>
      <c r="AS182" t="s">
        <v>74</v>
      </c>
      <c r="AT182" t="s">
        <v>7099</v>
      </c>
      <c r="AU182">
        <v>2019</v>
      </c>
      <c r="AV182">
        <v>38</v>
      </c>
      <c r="AW182">
        <v>11</v>
      </c>
      <c r="AX182" t="s">
        <v>74</v>
      </c>
      <c r="AY182" t="s">
        <v>74</v>
      </c>
      <c r="AZ182" t="s">
        <v>74</v>
      </c>
      <c r="BA182" t="s">
        <v>74</v>
      </c>
      <c r="BB182" t="s">
        <v>74</v>
      </c>
      <c r="BC182" t="s">
        <v>74</v>
      </c>
      <c r="BD182" t="s">
        <v>7100</v>
      </c>
      <c r="BE182" t="s">
        <v>7101</v>
      </c>
      <c r="BF182" t="str">
        <f>HYPERLINK("http://dx.doi.org/10.15252/embj.2019101695","http://dx.doi.org/10.15252/embj.2019101695")</f>
        <v>http://dx.doi.org/10.15252/embj.2019101695</v>
      </c>
      <c r="BG182" t="s">
        <v>74</v>
      </c>
      <c r="BH182" t="s">
        <v>74</v>
      </c>
      <c r="BI182" t="s">
        <v>74</v>
      </c>
      <c r="BJ182" t="s">
        <v>1493</v>
      </c>
      <c r="BK182" t="s">
        <v>112</v>
      </c>
      <c r="BL182" t="s">
        <v>1493</v>
      </c>
      <c r="BM182" t="s">
        <v>74</v>
      </c>
      <c r="BN182">
        <v>31053596</v>
      </c>
      <c r="BO182" t="s">
        <v>74</v>
      </c>
      <c r="BP182" t="s">
        <v>74</v>
      </c>
      <c r="BQ182" t="s">
        <v>74</v>
      </c>
      <c r="BR182" t="s">
        <v>93</v>
      </c>
      <c r="BS182" t="s">
        <v>7102</v>
      </c>
      <c r="BT182" t="str">
        <f>HYPERLINK("https%3A%2F%2Fwww.webofscience.com%2Fwos%2Fwoscc%2Ffull-record%2FWOS:000470014200001","View Full Record in Web of Science")</f>
        <v>View Full Record in Web of Science</v>
      </c>
    </row>
    <row r="183" spans="1:72" x14ac:dyDescent="0.15">
      <c r="A183" t="s">
        <v>72</v>
      </c>
      <c r="B183" t="s">
        <v>8390</v>
      </c>
      <c r="C183" t="s">
        <v>74</v>
      </c>
      <c r="D183" t="s">
        <v>74</v>
      </c>
      <c r="E183" t="s">
        <v>74</v>
      </c>
      <c r="F183" t="s">
        <v>8391</v>
      </c>
      <c r="G183" t="s">
        <v>74</v>
      </c>
      <c r="H183" t="s">
        <v>74</v>
      </c>
      <c r="I183" t="s">
        <v>8392</v>
      </c>
      <c r="J183" t="s">
        <v>8393</v>
      </c>
      <c r="K183" t="s">
        <v>74</v>
      </c>
      <c r="L183" t="s">
        <v>74</v>
      </c>
      <c r="M183" t="s">
        <v>74</v>
      </c>
      <c r="N183" t="s">
        <v>78</v>
      </c>
      <c r="O183" t="s">
        <v>74</v>
      </c>
      <c r="P183" t="s">
        <v>74</v>
      </c>
      <c r="Q183" t="s">
        <v>74</v>
      </c>
      <c r="R183" t="s">
        <v>74</v>
      </c>
      <c r="S183" t="s">
        <v>74</v>
      </c>
      <c r="T183" t="s">
        <v>8394</v>
      </c>
      <c r="U183" t="s">
        <v>8395</v>
      </c>
      <c r="V183" t="s">
        <v>8396</v>
      </c>
      <c r="W183" t="s">
        <v>8397</v>
      </c>
      <c r="X183" t="s">
        <v>8398</v>
      </c>
      <c r="Y183" t="s">
        <v>8399</v>
      </c>
      <c r="Z183" t="s">
        <v>8400</v>
      </c>
      <c r="AA183" t="s">
        <v>8401</v>
      </c>
      <c r="AB183" t="s">
        <v>8402</v>
      </c>
      <c r="AC183" t="s">
        <v>74</v>
      </c>
      <c r="AD183" t="s">
        <v>74</v>
      </c>
      <c r="AE183" t="s">
        <v>74</v>
      </c>
      <c r="AF183" t="s">
        <v>74</v>
      </c>
      <c r="AG183">
        <v>42</v>
      </c>
      <c r="AH183">
        <v>37</v>
      </c>
      <c r="AI183">
        <v>38</v>
      </c>
      <c r="AJ183">
        <v>1</v>
      </c>
      <c r="AK183">
        <v>14</v>
      </c>
      <c r="AL183" t="s">
        <v>74</v>
      </c>
      <c r="AM183" t="s">
        <v>74</v>
      </c>
      <c r="AN183" t="s">
        <v>74</v>
      </c>
      <c r="AO183" t="s">
        <v>8403</v>
      </c>
      <c r="AP183" t="s">
        <v>8404</v>
      </c>
      <c r="AQ183" t="s">
        <v>74</v>
      </c>
      <c r="AR183" t="s">
        <v>74</v>
      </c>
      <c r="AS183" t="s">
        <v>74</v>
      </c>
      <c r="AT183" t="s">
        <v>171</v>
      </c>
      <c r="AU183">
        <v>2017</v>
      </c>
      <c r="AV183">
        <v>17</v>
      </c>
      <c r="AW183" t="s">
        <v>8405</v>
      </c>
      <c r="AX183" t="s">
        <v>74</v>
      </c>
      <c r="AY183" t="s">
        <v>74</v>
      </c>
      <c r="AZ183" t="s">
        <v>1075</v>
      </c>
      <c r="BA183" t="s">
        <v>74</v>
      </c>
      <c r="BB183" t="s">
        <v>74</v>
      </c>
      <c r="BC183" t="s">
        <v>74</v>
      </c>
      <c r="BD183">
        <v>1600432</v>
      </c>
      <c r="BE183" t="s">
        <v>8406</v>
      </c>
      <c r="BF183" t="str">
        <f>HYPERLINK("http://dx.doi.org/10.1002/pmic.201600432","http://dx.doi.org/10.1002/pmic.201600432")</f>
        <v>http://dx.doi.org/10.1002/pmic.201600432</v>
      </c>
      <c r="BG183" t="s">
        <v>74</v>
      </c>
      <c r="BH183" t="s">
        <v>74</v>
      </c>
      <c r="BI183" t="s">
        <v>74</v>
      </c>
      <c r="BJ183" t="s">
        <v>469</v>
      </c>
      <c r="BK183" t="s">
        <v>112</v>
      </c>
      <c r="BL183" t="s">
        <v>92</v>
      </c>
      <c r="BM183" t="s">
        <v>74</v>
      </c>
      <c r="BN183">
        <v>28722786</v>
      </c>
      <c r="BO183" t="s">
        <v>74</v>
      </c>
      <c r="BP183" t="s">
        <v>74</v>
      </c>
      <c r="BQ183" t="s">
        <v>74</v>
      </c>
      <c r="BR183" t="s">
        <v>93</v>
      </c>
      <c r="BS183" t="s">
        <v>8407</v>
      </c>
      <c r="BT183" t="str">
        <f>HYPERLINK("https%3A%2F%2Fwww.webofscience.com%2Fwos%2Fwoscc%2Ffull-record%2FWOS:000418420500003","View Full Record in Web of Science")</f>
        <v>View Full Record in Web of Science</v>
      </c>
    </row>
    <row r="184" spans="1:72" x14ac:dyDescent="0.15">
      <c r="A184" t="s">
        <v>72</v>
      </c>
      <c r="B184" t="s">
        <v>9278</v>
      </c>
      <c r="C184" t="s">
        <v>74</v>
      </c>
      <c r="D184" t="s">
        <v>74</v>
      </c>
      <c r="E184" t="s">
        <v>74</v>
      </c>
      <c r="F184" t="s">
        <v>9279</v>
      </c>
      <c r="G184" t="s">
        <v>74</v>
      </c>
      <c r="H184" t="s">
        <v>74</v>
      </c>
      <c r="I184" t="s">
        <v>9280</v>
      </c>
      <c r="J184" t="s">
        <v>9281</v>
      </c>
      <c r="K184" t="s">
        <v>74</v>
      </c>
      <c r="L184" t="s">
        <v>74</v>
      </c>
      <c r="M184" t="s">
        <v>74</v>
      </c>
      <c r="N184" t="s">
        <v>752</v>
      </c>
      <c r="O184" t="s">
        <v>9282</v>
      </c>
      <c r="P184" t="s">
        <v>9283</v>
      </c>
      <c r="Q184" t="s">
        <v>9284</v>
      </c>
      <c r="R184" t="s">
        <v>74</v>
      </c>
      <c r="S184" t="s">
        <v>74</v>
      </c>
      <c r="T184" t="s">
        <v>9285</v>
      </c>
      <c r="U184" t="s">
        <v>9286</v>
      </c>
      <c r="V184" t="s">
        <v>9287</v>
      </c>
      <c r="W184" t="s">
        <v>9288</v>
      </c>
      <c r="X184" t="s">
        <v>9289</v>
      </c>
      <c r="Y184" t="s">
        <v>9290</v>
      </c>
      <c r="Z184" t="s">
        <v>9291</v>
      </c>
      <c r="AA184" t="s">
        <v>74</v>
      </c>
      <c r="AB184" t="s">
        <v>74</v>
      </c>
      <c r="AC184" t="s">
        <v>74</v>
      </c>
      <c r="AD184" t="s">
        <v>74</v>
      </c>
      <c r="AE184" t="s">
        <v>74</v>
      </c>
      <c r="AF184" t="s">
        <v>74</v>
      </c>
      <c r="AG184">
        <v>52</v>
      </c>
      <c r="AH184">
        <v>37</v>
      </c>
      <c r="AI184">
        <v>40</v>
      </c>
      <c r="AJ184">
        <v>6</v>
      </c>
      <c r="AK184">
        <v>26</v>
      </c>
      <c r="AL184" t="s">
        <v>74</v>
      </c>
      <c r="AM184" t="s">
        <v>74</v>
      </c>
      <c r="AN184" t="s">
        <v>74</v>
      </c>
      <c r="AO184" t="s">
        <v>9292</v>
      </c>
      <c r="AP184" t="s">
        <v>9293</v>
      </c>
      <c r="AQ184" t="s">
        <v>74</v>
      </c>
      <c r="AR184" t="s">
        <v>74</v>
      </c>
      <c r="AS184" t="s">
        <v>74</v>
      </c>
      <c r="AT184" t="s">
        <v>88</v>
      </c>
      <c r="AU184">
        <v>2018</v>
      </c>
      <c r="AV184">
        <v>10</v>
      </c>
      <c r="AW184" t="s">
        <v>74</v>
      </c>
      <c r="AX184">
        <v>2</v>
      </c>
      <c r="AY184">
        <v>14</v>
      </c>
      <c r="AZ184" t="s">
        <v>74</v>
      </c>
      <c r="BA184" t="s">
        <v>74</v>
      </c>
      <c r="BB184" t="s">
        <v>9294</v>
      </c>
      <c r="BC184" t="s">
        <v>9295</v>
      </c>
      <c r="BD184" t="s">
        <v>74</v>
      </c>
      <c r="BE184" t="s">
        <v>9296</v>
      </c>
      <c r="BF184" t="str">
        <f>HYPERLINK("http://dx.doi.org/10.21037/jtd.2018.04.68","http://dx.doi.org/10.21037/jtd.2018.04.68")</f>
        <v>http://dx.doi.org/10.21037/jtd.2018.04.68</v>
      </c>
      <c r="BG184" t="s">
        <v>74</v>
      </c>
      <c r="BH184" t="s">
        <v>74</v>
      </c>
      <c r="BI184" t="s">
        <v>74</v>
      </c>
      <c r="BJ184" t="s">
        <v>9121</v>
      </c>
      <c r="BK184" t="s">
        <v>1408</v>
      </c>
      <c r="BL184" t="s">
        <v>9121</v>
      </c>
      <c r="BM184" t="s">
        <v>74</v>
      </c>
      <c r="BN184">
        <v>30034830</v>
      </c>
      <c r="BO184" t="s">
        <v>74</v>
      </c>
      <c r="BP184" t="s">
        <v>74</v>
      </c>
      <c r="BQ184" t="s">
        <v>74</v>
      </c>
      <c r="BR184" t="s">
        <v>93</v>
      </c>
      <c r="BS184" t="s">
        <v>9297</v>
      </c>
      <c r="BT184" t="str">
        <f>HYPERLINK("https%3A%2F%2Fwww.webofscience.com%2Fwos%2Fwoscc%2Ffull-record%2FWOS:000435837800006","View Full Record in Web of Science")</f>
        <v>View Full Record in Web of Science</v>
      </c>
    </row>
    <row r="185" spans="1:72" x14ac:dyDescent="0.15">
      <c r="A185" t="s">
        <v>72</v>
      </c>
      <c r="B185" t="s">
        <v>10029</v>
      </c>
      <c r="C185" t="s">
        <v>74</v>
      </c>
      <c r="D185" t="s">
        <v>74</v>
      </c>
      <c r="E185" t="s">
        <v>74</v>
      </c>
      <c r="F185" t="s">
        <v>10030</v>
      </c>
      <c r="G185" t="s">
        <v>74</v>
      </c>
      <c r="H185" t="s">
        <v>74</v>
      </c>
      <c r="I185" t="s">
        <v>10031</v>
      </c>
      <c r="J185" t="s">
        <v>10032</v>
      </c>
      <c r="K185" t="s">
        <v>74</v>
      </c>
      <c r="L185" t="s">
        <v>74</v>
      </c>
      <c r="M185" t="s">
        <v>74</v>
      </c>
      <c r="N185" t="s">
        <v>78</v>
      </c>
      <c r="O185" t="s">
        <v>74</v>
      </c>
      <c r="P185" t="s">
        <v>74</v>
      </c>
      <c r="Q185" t="s">
        <v>74</v>
      </c>
      <c r="R185" t="s">
        <v>74</v>
      </c>
      <c r="S185" t="s">
        <v>74</v>
      </c>
      <c r="T185" t="s">
        <v>10033</v>
      </c>
      <c r="U185" t="s">
        <v>10034</v>
      </c>
      <c r="V185" t="s">
        <v>10035</v>
      </c>
      <c r="W185" t="s">
        <v>10036</v>
      </c>
      <c r="X185" t="s">
        <v>10037</v>
      </c>
      <c r="Y185" t="s">
        <v>10038</v>
      </c>
      <c r="Z185" t="s">
        <v>10039</v>
      </c>
      <c r="AA185" t="s">
        <v>10040</v>
      </c>
      <c r="AB185" t="s">
        <v>10041</v>
      </c>
      <c r="AC185" t="s">
        <v>74</v>
      </c>
      <c r="AD185" t="s">
        <v>74</v>
      </c>
      <c r="AE185" t="s">
        <v>74</v>
      </c>
      <c r="AF185" t="s">
        <v>74</v>
      </c>
      <c r="AG185">
        <v>55</v>
      </c>
      <c r="AH185">
        <v>37</v>
      </c>
      <c r="AI185">
        <v>37</v>
      </c>
      <c r="AJ185">
        <v>0</v>
      </c>
      <c r="AK185">
        <v>15</v>
      </c>
      <c r="AL185" t="s">
        <v>74</v>
      </c>
      <c r="AM185" t="s">
        <v>74</v>
      </c>
      <c r="AN185" t="s">
        <v>74</v>
      </c>
      <c r="AO185" t="s">
        <v>10042</v>
      </c>
      <c r="AP185" t="s">
        <v>74</v>
      </c>
      <c r="AQ185" t="s">
        <v>74</v>
      </c>
      <c r="AR185" t="s">
        <v>74</v>
      </c>
      <c r="AS185" t="s">
        <v>74</v>
      </c>
      <c r="AT185" t="s">
        <v>171</v>
      </c>
      <c r="AU185">
        <v>2011</v>
      </c>
      <c r="AV185">
        <v>49</v>
      </c>
      <c r="AW185">
        <v>6</v>
      </c>
      <c r="AX185" t="s">
        <v>74</v>
      </c>
      <c r="AY185" t="s">
        <v>74</v>
      </c>
      <c r="AZ185" t="s">
        <v>74</v>
      </c>
      <c r="BA185" t="s">
        <v>74</v>
      </c>
      <c r="BB185">
        <v>1219</v>
      </c>
      <c r="BC185">
        <v>1231</v>
      </c>
      <c r="BD185" t="s">
        <v>74</v>
      </c>
      <c r="BE185" t="s">
        <v>10043</v>
      </c>
      <c r="BF185" t="str">
        <f>HYPERLINK("http://dx.doi.org/10.1016/j.bone.2011.08.013","http://dx.doi.org/10.1016/j.bone.2011.08.013")</f>
        <v>http://dx.doi.org/10.1016/j.bone.2011.08.013</v>
      </c>
      <c r="BG185" t="s">
        <v>74</v>
      </c>
      <c r="BH185" t="s">
        <v>74</v>
      </c>
      <c r="BI185" t="s">
        <v>74</v>
      </c>
      <c r="BJ185" t="s">
        <v>1810</v>
      </c>
      <c r="BK185" t="s">
        <v>112</v>
      </c>
      <c r="BL185" t="s">
        <v>1810</v>
      </c>
      <c r="BM185" t="s">
        <v>74</v>
      </c>
      <c r="BN185">
        <v>21893226</v>
      </c>
      <c r="BO185" t="s">
        <v>74</v>
      </c>
      <c r="BP185" t="s">
        <v>74</v>
      </c>
      <c r="BQ185" t="s">
        <v>74</v>
      </c>
      <c r="BR185" t="s">
        <v>93</v>
      </c>
      <c r="BS185" t="s">
        <v>10044</v>
      </c>
      <c r="BT185" t="str">
        <f>HYPERLINK("https%3A%2F%2Fwww.webofscience.com%2Fwos%2Fwoscc%2Ffull-record%2FWOS:000297663500014","View Full Record in Web of Science")</f>
        <v>View Full Record in Web of Science</v>
      </c>
    </row>
    <row r="186" spans="1:72" x14ac:dyDescent="0.15">
      <c r="A186" t="s">
        <v>72</v>
      </c>
      <c r="B186" t="s">
        <v>1621</v>
      </c>
      <c r="C186" t="s">
        <v>74</v>
      </c>
      <c r="D186" t="s">
        <v>74</v>
      </c>
      <c r="E186" t="s">
        <v>74</v>
      </c>
      <c r="F186" t="s">
        <v>1622</v>
      </c>
      <c r="G186" t="s">
        <v>74</v>
      </c>
      <c r="H186" t="s">
        <v>74</v>
      </c>
      <c r="I186" t="s">
        <v>1623</v>
      </c>
      <c r="J186" t="s">
        <v>1624</v>
      </c>
      <c r="K186" t="s">
        <v>74</v>
      </c>
      <c r="L186" t="s">
        <v>74</v>
      </c>
      <c r="M186" t="s">
        <v>74</v>
      </c>
      <c r="N186" t="s">
        <v>78</v>
      </c>
      <c r="O186" t="s">
        <v>74</v>
      </c>
      <c r="P186" t="s">
        <v>74</v>
      </c>
      <c r="Q186" t="s">
        <v>74</v>
      </c>
      <c r="R186" t="s">
        <v>74</v>
      </c>
      <c r="S186" t="s">
        <v>74</v>
      </c>
      <c r="T186" t="s">
        <v>1625</v>
      </c>
      <c r="U186" t="s">
        <v>1626</v>
      </c>
      <c r="V186" t="s">
        <v>1627</v>
      </c>
      <c r="W186" t="s">
        <v>1628</v>
      </c>
      <c r="X186" t="s">
        <v>1629</v>
      </c>
      <c r="Y186" t="s">
        <v>1630</v>
      </c>
      <c r="Z186" t="s">
        <v>1631</v>
      </c>
      <c r="AA186" t="s">
        <v>591</v>
      </c>
      <c r="AB186" t="s">
        <v>465</v>
      </c>
      <c r="AC186" t="s">
        <v>74</v>
      </c>
      <c r="AD186" t="s">
        <v>74</v>
      </c>
      <c r="AE186" t="s">
        <v>74</v>
      </c>
      <c r="AF186" t="s">
        <v>74</v>
      </c>
      <c r="AG186">
        <v>49</v>
      </c>
      <c r="AH186">
        <v>36</v>
      </c>
      <c r="AI186">
        <v>36</v>
      </c>
      <c r="AJ186">
        <v>1</v>
      </c>
      <c r="AK186">
        <v>7</v>
      </c>
      <c r="AL186" t="s">
        <v>74</v>
      </c>
      <c r="AM186" t="s">
        <v>74</v>
      </c>
      <c r="AN186" t="s">
        <v>74</v>
      </c>
      <c r="AO186" t="s">
        <v>1632</v>
      </c>
      <c r="AP186" t="s">
        <v>1633</v>
      </c>
      <c r="AQ186" t="s">
        <v>74</v>
      </c>
      <c r="AR186" t="s">
        <v>74</v>
      </c>
      <c r="AS186" t="s">
        <v>74</v>
      </c>
      <c r="AT186" t="s">
        <v>659</v>
      </c>
      <c r="AU186">
        <v>2018</v>
      </c>
      <c r="AV186">
        <v>16</v>
      </c>
      <c r="AW186">
        <v>9</v>
      </c>
      <c r="AX186" t="s">
        <v>74</v>
      </c>
      <c r="AY186" t="s">
        <v>74</v>
      </c>
      <c r="AZ186" t="s">
        <v>74</v>
      </c>
      <c r="BA186" t="s">
        <v>74</v>
      </c>
      <c r="BB186">
        <v>1800</v>
      </c>
      <c r="BC186">
        <v>1813</v>
      </c>
      <c r="BD186" t="s">
        <v>74</v>
      </c>
      <c r="BE186" t="s">
        <v>1634</v>
      </c>
      <c r="BF186" t="str">
        <f>HYPERLINK("http://dx.doi.org/10.1111/jth.14222","http://dx.doi.org/10.1111/jth.14222")</f>
        <v>http://dx.doi.org/10.1111/jth.14222</v>
      </c>
      <c r="BG186" t="s">
        <v>74</v>
      </c>
      <c r="BH186" t="s">
        <v>74</v>
      </c>
      <c r="BI186" t="s">
        <v>74</v>
      </c>
      <c r="BJ186" t="s">
        <v>1635</v>
      </c>
      <c r="BK186" t="s">
        <v>112</v>
      </c>
      <c r="BL186" t="s">
        <v>1636</v>
      </c>
      <c r="BM186" t="s">
        <v>74</v>
      </c>
      <c r="BN186">
        <v>29971917</v>
      </c>
      <c r="BO186" t="s">
        <v>74</v>
      </c>
      <c r="BP186" t="s">
        <v>74</v>
      </c>
      <c r="BQ186" t="s">
        <v>74</v>
      </c>
      <c r="BR186" t="s">
        <v>93</v>
      </c>
      <c r="BS186" t="s">
        <v>1637</v>
      </c>
      <c r="BT186" t="str">
        <f>HYPERLINK("https%3A%2F%2Fwww.webofscience.com%2Fwos%2Fwoscc%2Ffull-record%2FWOS:000443571100015","View Full Record in Web of Science")</f>
        <v>View Full Record in Web of Science</v>
      </c>
    </row>
    <row r="187" spans="1:72" x14ac:dyDescent="0.15">
      <c r="A187" t="s">
        <v>72</v>
      </c>
      <c r="B187" t="s">
        <v>4146</v>
      </c>
      <c r="C187" t="s">
        <v>74</v>
      </c>
      <c r="D187" t="s">
        <v>74</v>
      </c>
      <c r="E187" t="s">
        <v>74</v>
      </c>
      <c r="F187" t="s">
        <v>4147</v>
      </c>
      <c r="G187" t="s">
        <v>74</v>
      </c>
      <c r="H187" t="s">
        <v>74</v>
      </c>
      <c r="I187" t="s">
        <v>4148</v>
      </c>
      <c r="J187" t="s">
        <v>1750</v>
      </c>
      <c r="K187" t="s">
        <v>74</v>
      </c>
      <c r="L187" t="s">
        <v>74</v>
      </c>
      <c r="M187" t="s">
        <v>74</v>
      </c>
      <c r="N187" t="s">
        <v>78</v>
      </c>
      <c r="O187" t="s">
        <v>74</v>
      </c>
      <c r="P187" t="s">
        <v>74</v>
      </c>
      <c r="Q187" t="s">
        <v>74</v>
      </c>
      <c r="R187" t="s">
        <v>74</v>
      </c>
      <c r="S187" t="s">
        <v>74</v>
      </c>
      <c r="T187" t="s">
        <v>4149</v>
      </c>
      <c r="U187" t="s">
        <v>4150</v>
      </c>
      <c r="V187" t="s">
        <v>4151</v>
      </c>
      <c r="W187" t="s">
        <v>4152</v>
      </c>
      <c r="X187" t="s">
        <v>4153</v>
      </c>
      <c r="Y187" t="s">
        <v>4154</v>
      </c>
      <c r="Z187" t="s">
        <v>4155</v>
      </c>
      <c r="AA187" t="s">
        <v>74</v>
      </c>
      <c r="AB187" t="s">
        <v>4156</v>
      </c>
      <c r="AC187" t="s">
        <v>74</v>
      </c>
      <c r="AD187" t="s">
        <v>74</v>
      </c>
      <c r="AE187" t="s">
        <v>74</v>
      </c>
      <c r="AF187" t="s">
        <v>74</v>
      </c>
      <c r="AG187">
        <v>61</v>
      </c>
      <c r="AH187">
        <v>36</v>
      </c>
      <c r="AI187">
        <v>41</v>
      </c>
      <c r="AJ187">
        <v>6</v>
      </c>
      <c r="AK187">
        <v>15</v>
      </c>
      <c r="AL187" t="s">
        <v>74</v>
      </c>
      <c r="AM187" t="s">
        <v>74</v>
      </c>
      <c r="AN187" t="s">
        <v>74</v>
      </c>
      <c r="AO187" t="s">
        <v>74</v>
      </c>
      <c r="AP187" t="s">
        <v>1760</v>
      </c>
      <c r="AQ187" t="s">
        <v>74</v>
      </c>
      <c r="AR187" t="s">
        <v>74</v>
      </c>
      <c r="AS187" t="s">
        <v>74</v>
      </c>
      <c r="AT187" t="s">
        <v>3976</v>
      </c>
      <c r="AU187">
        <v>2020</v>
      </c>
      <c r="AV187">
        <v>7</v>
      </c>
      <c r="AW187" t="s">
        <v>74</v>
      </c>
      <c r="AX187" t="s">
        <v>74</v>
      </c>
      <c r="AY187" t="s">
        <v>74</v>
      </c>
      <c r="AZ187" t="s">
        <v>74</v>
      </c>
      <c r="BA187" t="s">
        <v>74</v>
      </c>
      <c r="BB187" t="s">
        <v>74</v>
      </c>
      <c r="BC187" t="s">
        <v>74</v>
      </c>
      <c r="BD187">
        <v>119</v>
      </c>
      <c r="BE187" t="s">
        <v>4157</v>
      </c>
      <c r="BF187" t="str">
        <f>HYPERLINK("http://dx.doi.org/10.3389/fmolb.2020.00119","http://dx.doi.org/10.3389/fmolb.2020.00119")</f>
        <v>http://dx.doi.org/10.3389/fmolb.2020.00119</v>
      </c>
      <c r="BG187" t="s">
        <v>74</v>
      </c>
      <c r="BH187" t="s">
        <v>74</v>
      </c>
      <c r="BI187" t="s">
        <v>74</v>
      </c>
      <c r="BJ187" t="s">
        <v>92</v>
      </c>
      <c r="BK187" t="s">
        <v>112</v>
      </c>
      <c r="BL187" t="s">
        <v>92</v>
      </c>
      <c r="BM187" t="s">
        <v>74</v>
      </c>
      <c r="BN187">
        <v>32671095</v>
      </c>
      <c r="BO187" t="s">
        <v>74</v>
      </c>
      <c r="BP187" t="s">
        <v>74</v>
      </c>
      <c r="BQ187" t="s">
        <v>74</v>
      </c>
      <c r="BR187" t="s">
        <v>93</v>
      </c>
      <c r="BS187" t="s">
        <v>4158</v>
      </c>
      <c r="BT187" t="str">
        <f>HYPERLINK("https%3A%2F%2Fwww.webofscience.com%2Fwos%2Fwoscc%2Ffull-record%2FWOS:000549103600001","View Full Record in Web of Science")</f>
        <v>View Full Record in Web of Science</v>
      </c>
    </row>
    <row r="188" spans="1:72" x14ac:dyDescent="0.15">
      <c r="A188" t="s">
        <v>72</v>
      </c>
      <c r="B188" t="s">
        <v>1947</v>
      </c>
      <c r="C188" t="s">
        <v>74</v>
      </c>
      <c r="D188" t="s">
        <v>74</v>
      </c>
      <c r="E188" t="s">
        <v>74</v>
      </c>
      <c r="F188" t="s">
        <v>1948</v>
      </c>
      <c r="G188" t="s">
        <v>74</v>
      </c>
      <c r="H188" t="s">
        <v>74</v>
      </c>
      <c r="I188" t="s">
        <v>1949</v>
      </c>
      <c r="J188" t="s">
        <v>1950</v>
      </c>
      <c r="K188" t="s">
        <v>74</v>
      </c>
      <c r="L188" t="s">
        <v>74</v>
      </c>
      <c r="M188" t="s">
        <v>74</v>
      </c>
      <c r="N188" t="s">
        <v>78</v>
      </c>
      <c r="O188" t="s">
        <v>74</v>
      </c>
      <c r="P188" t="s">
        <v>74</v>
      </c>
      <c r="Q188" t="s">
        <v>74</v>
      </c>
      <c r="R188" t="s">
        <v>74</v>
      </c>
      <c r="S188" t="s">
        <v>74</v>
      </c>
      <c r="T188" t="s">
        <v>1951</v>
      </c>
      <c r="U188" t="s">
        <v>1952</v>
      </c>
      <c r="V188" t="s">
        <v>1953</v>
      </c>
      <c r="W188" t="s">
        <v>1954</v>
      </c>
      <c r="X188" t="s">
        <v>1955</v>
      </c>
      <c r="Y188" t="s">
        <v>1956</v>
      </c>
      <c r="Z188" t="s">
        <v>1957</v>
      </c>
      <c r="AA188" t="s">
        <v>1958</v>
      </c>
      <c r="AB188" t="s">
        <v>1959</v>
      </c>
      <c r="AC188" t="s">
        <v>74</v>
      </c>
      <c r="AD188" t="s">
        <v>74</v>
      </c>
      <c r="AE188" t="s">
        <v>74</v>
      </c>
      <c r="AF188" t="s">
        <v>74</v>
      </c>
      <c r="AG188">
        <v>58</v>
      </c>
      <c r="AH188">
        <v>35</v>
      </c>
      <c r="AI188">
        <v>36</v>
      </c>
      <c r="AJ188">
        <v>0</v>
      </c>
      <c r="AK188">
        <v>7</v>
      </c>
      <c r="AL188" t="s">
        <v>74</v>
      </c>
      <c r="AM188" t="s">
        <v>74</v>
      </c>
      <c r="AN188" t="s">
        <v>74</v>
      </c>
      <c r="AO188" t="s">
        <v>74</v>
      </c>
      <c r="AP188" t="s">
        <v>1960</v>
      </c>
      <c r="AQ188" t="s">
        <v>74</v>
      </c>
      <c r="AR188" t="s">
        <v>74</v>
      </c>
      <c r="AS188" t="s">
        <v>74</v>
      </c>
      <c r="AT188" t="s">
        <v>1961</v>
      </c>
      <c r="AU188">
        <v>2017</v>
      </c>
      <c r="AV188">
        <v>36</v>
      </c>
      <c r="AW188" t="s">
        <v>74</v>
      </c>
      <c r="AX188" t="s">
        <v>74</v>
      </c>
      <c r="AY188" t="s">
        <v>74</v>
      </c>
      <c r="AZ188" t="s">
        <v>74</v>
      </c>
      <c r="BA188" t="s">
        <v>74</v>
      </c>
      <c r="BB188" t="s">
        <v>74</v>
      </c>
      <c r="BC188" t="s">
        <v>74</v>
      </c>
      <c r="BD188">
        <v>113</v>
      </c>
      <c r="BE188" t="s">
        <v>1962</v>
      </c>
      <c r="BF188" t="str">
        <f>HYPERLINK("http://dx.doi.org/10.1186/s13046-017-0587-0","http://dx.doi.org/10.1186/s13046-017-0587-0")</f>
        <v>http://dx.doi.org/10.1186/s13046-017-0587-0</v>
      </c>
      <c r="BG188" t="s">
        <v>74</v>
      </c>
      <c r="BH188" t="s">
        <v>74</v>
      </c>
      <c r="BI188" t="s">
        <v>74</v>
      </c>
      <c r="BJ188" t="s">
        <v>146</v>
      </c>
      <c r="BK188" t="s">
        <v>112</v>
      </c>
      <c r="BL188" t="s">
        <v>146</v>
      </c>
      <c r="BM188" t="s">
        <v>74</v>
      </c>
      <c r="BN188">
        <v>28854931</v>
      </c>
      <c r="BO188" t="s">
        <v>74</v>
      </c>
      <c r="BP188" t="s">
        <v>74</v>
      </c>
      <c r="BQ188" t="s">
        <v>74</v>
      </c>
      <c r="BR188" t="s">
        <v>93</v>
      </c>
      <c r="BS188" t="s">
        <v>1963</v>
      </c>
      <c r="BT188" t="str">
        <f>HYPERLINK("https%3A%2F%2Fwww.webofscience.com%2Fwos%2Fwoscc%2Ffull-record%2FWOS:000408632100001","View Full Record in Web of Science")</f>
        <v>View Full Record in Web of Science</v>
      </c>
    </row>
    <row r="189" spans="1:72" x14ac:dyDescent="0.15">
      <c r="A189" t="s">
        <v>72</v>
      </c>
      <c r="B189" t="s">
        <v>2355</v>
      </c>
      <c r="C189" t="s">
        <v>74</v>
      </c>
      <c r="D189" t="s">
        <v>74</v>
      </c>
      <c r="E189" t="s">
        <v>74</v>
      </c>
      <c r="F189" t="s">
        <v>2356</v>
      </c>
      <c r="G189" t="s">
        <v>74</v>
      </c>
      <c r="H189" t="s">
        <v>74</v>
      </c>
      <c r="I189" t="s">
        <v>2357</v>
      </c>
      <c r="J189" t="s">
        <v>2358</v>
      </c>
      <c r="K189" t="s">
        <v>74</v>
      </c>
      <c r="L189" t="s">
        <v>74</v>
      </c>
      <c r="M189" t="s">
        <v>74</v>
      </c>
      <c r="N189" t="s">
        <v>78</v>
      </c>
      <c r="O189" t="s">
        <v>74</v>
      </c>
      <c r="P189" t="s">
        <v>74</v>
      </c>
      <c r="Q189" t="s">
        <v>74</v>
      </c>
      <c r="R189" t="s">
        <v>74</v>
      </c>
      <c r="S189" t="s">
        <v>74</v>
      </c>
      <c r="T189" t="s">
        <v>74</v>
      </c>
      <c r="U189" t="s">
        <v>2359</v>
      </c>
      <c r="V189" t="s">
        <v>2360</v>
      </c>
      <c r="W189" t="s">
        <v>2361</v>
      </c>
      <c r="X189" t="s">
        <v>2362</v>
      </c>
      <c r="Y189" t="s">
        <v>2363</v>
      </c>
      <c r="Z189" t="s">
        <v>2364</v>
      </c>
      <c r="AA189" t="s">
        <v>2365</v>
      </c>
      <c r="AB189" t="s">
        <v>2366</v>
      </c>
      <c r="AC189" t="s">
        <v>74</v>
      </c>
      <c r="AD189" t="s">
        <v>74</v>
      </c>
      <c r="AE189" t="s">
        <v>74</v>
      </c>
      <c r="AF189" t="s">
        <v>74</v>
      </c>
      <c r="AG189">
        <v>123</v>
      </c>
      <c r="AH189">
        <v>35</v>
      </c>
      <c r="AI189">
        <v>35</v>
      </c>
      <c r="AJ189">
        <v>4</v>
      </c>
      <c r="AK189">
        <v>31</v>
      </c>
      <c r="AL189" t="s">
        <v>74</v>
      </c>
      <c r="AM189" t="s">
        <v>74</v>
      </c>
      <c r="AN189" t="s">
        <v>74</v>
      </c>
      <c r="AO189" t="s">
        <v>2367</v>
      </c>
      <c r="AP189" t="s">
        <v>2368</v>
      </c>
      <c r="AQ189" t="s">
        <v>74</v>
      </c>
      <c r="AR189" t="s">
        <v>74</v>
      </c>
      <c r="AS189" t="s">
        <v>74</v>
      </c>
      <c r="AT189" t="s">
        <v>2369</v>
      </c>
      <c r="AU189">
        <v>2019</v>
      </c>
      <c r="AV189">
        <v>11</v>
      </c>
      <c r="AW189">
        <v>4</v>
      </c>
      <c r="AX189" t="s">
        <v>74</v>
      </c>
      <c r="AY189" t="s">
        <v>74</v>
      </c>
      <c r="AZ189" t="s">
        <v>74</v>
      </c>
      <c r="BA189" t="s">
        <v>74</v>
      </c>
      <c r="BB189">
        <v>1661</v>
      </c>
      <c r="BC189">
        <v>1679</v>
      </c>
      <c r="BD189" t="s">
        <v>74</v>
      </c>
      <c r="BE189" t="s">
        <v>2370</v>
      </c>
      <c r="BF189" t="str">
        <f>HYPERLINK("http://dx.doi.org/10.1039/c8nr04677h","http://dx.doi.org/10.1039/c8nr04677h")</f>
        <v>http://dx.doi.org/10.1039/c8nr04677h</v>
      </c>
      <c r="BG189" t="s">
        <v>74</v>
      </c>
      <c r="BH189" t="s">
        <v>74</v>
      </c>
      <c r="BI189" t="s">
        <v>74</v>
      </c>
      <c r="BJ189" t="s">
        <v>2371</v>
      </c>
      <c r="BK189" t="s">
        <v>112</v>
      </c>
      <c r="BL189" t="s">
        <v>2124</v>
      </c>
      <c r="BM189" t="s">
        <v>74</v>
      </c>
      <c r="BN189">
        <v>30620023</v>
      </c>
      <c r="BO189" t="s">
        <v>74</v>
      </c>
      <c r="BP189" t="s">
        <v>74</v>
      </c>
      <c r="BQ189" t="s">
        <v>74</v>
      </c>
      <c r="BR189" t="s">
        <v>93</v>
      </c>
      <c r="BS189" t="s">
        <v>2372</v>
      </c>
      <c r="BT189" t="str">
        <f>HYPERLINK("https%3A%2F%2Fwww.webofscience.com%2Fwos%2Fwoscc%2Ffull-record%2FWOS:000459910900015","View Full Record in Web of Science")</f>
        <v>View Full Record in Web of Science</v>
      </c>
    </row>
    <row r="190" spans="1:72" x14ac:dyDescent="0.15">
      <c r="A190" t="s">
        <v>72</v>
      </c>
      <c r="B190" t="s">
        <v>3402</v>
      </c>
      <c r="C190" t="s">
        <v>74</v>
      </c>
      <c r="D190" t="s">
        <v>74</v>
      </c>
      <c r="E190" t="s">
        <v>74</v>
      </c>
      <c r="F190" t="s">
        <v>3403</v>
      </c>
      <c r="G190" t="s">
        <v>74</v>
      </c>
      <c r="H190" t="s">
        <v>74</v>
      </c>
      <c r="I190" t="s">
        <v>3404</v>
      </c>
      <c r="J190" t="s">
        <v>2774</v>
      </c>
      <c r="K190" t="s">
        <v>74</v>
      </c>
      <c r="L190" t="s">
        <v>74</v>
      </c>
      <c r="M190" t="s">
        <v>74</v>
      </c>
      <c r="N190" t="s">
        <v>78</v>
      </c>
      <c r="O190" t="s">
        <v>74</v>
      </c>
      <c r="P190" t="s">
        <v>74</v>
      </c>
      <c r="Q190" t="s">
        <v>74</v>
      </c>
      <c r="R190" t="s">
        <v>74</v>
      </c>
      <c r="S190" t="s">
        <v>74</v>
      </c>
      <c r="T190" t="s">
        <v>3405</v>
      </c>
      <c r="U190" t="s">
        <v>3406</v>
      </c>
      <c r="V190" t="s">
        <v>3407</v>
      </c>
      <c r="W190" t="s">
        <v>3408</v>
      </c>
      <c r="X190" t="s">
        <v>3409</v>
      </c>
      <c r="Y190" t="s">
        <v>3410</v>
      </c>
      <c r="Z190" t="s">
        <v>3411</v>
      </c>
      <c r="AA190" t="s">
        <v>3412</v>
      </c>
      <c r="AB190" t="s">
        <v>3413</v>
      </c>
      <c r="AC190" t="s">
        <v>74</v>
      </c>
      <c r="AD190" t="s">
        <v>74</v>
      </c>
      <c r="AE190" t="s">
        <v>74</v>
      </c>
      <c r="AF190" t="s">
        <v>74</v>
      </c>
      <c r="AG190">
        <v>28</v>
      </c>
      <c r="AH190">
        <v>35</v>
      </c>
      <c r="AI190">
        <v>36</v>
      </c>
      <c r="AJ190">
        <v>0</v>
      </c>
      <c r="AK190">
        <v>14</v>
      </c>
      <c r="AL190" t="s">
        <v>74</v>
      </c>
      <c r="AM190" t="s">
        <v>74</v>
      </c>
      <c r="AN190" t="s">
        <v>74</v>
      </c>
      <c r="AO190" t="s">
        <v>2784</v>
      </c>
      <c r="AP190" t="s">
        <v>74</v>
      </c>
      <c r="AQ190" t="s">
        <v>74</v>
      </c>
      <c r="AR190" t="s">
        <v>74</v>
      </c>
      <c r="AS190" t="s">
        <v>74</v>
      </c>
      <c r="AT190" t="s">
        <v>74</v>
      </c>
      <c r="AU190">
        <v>2017</v>
      </c>
      <c r="AV190">
        <v>12</v>
      </c>
      <c r="AW190" t="s">
        <v>74</v>
      </c>
      <c r="AX190" t="s">
        <v>74</v>
      </c>
      <c r="AY190" t="s">
        <v>74</v>
      </c>
      <c r="AZ190" t="s">
        <v>74</v>
      </c>
      <c r="BA190" t="s">
        <v>74</v>
      </c>
      <c r="BB190">
        <v>4579</v>
      </c>
      <c r="BC190">
        <v>4591</v>
      </c>
      <c r="BD190" t="s">
        <v>74</v>
      </c>
      <c r="BE190" t="s">
        <v>3414</v>
      </c>
      <c r="BF190" t="str">
        <f>HYPERLINK("http://dx.doi.org/10.2147/IJN.S131309","http://dx.doi.org/10.2147/IJN.S131309")</f>
        <v>http://dx.doi.org/10.2147/IJN.S131309</v>
      </c>
      <c r="BG190" t="s">
        <v>74</v>
      </c>
      <c r="BH190" t="s">
        <v>74</v>
      </c>
      <c r="BI190" t="s">
        <v>74</v>
      </c>
      <c r="BJ190" t="s">
        <v>2786</v>
      </c>
      <c r="BK190" t="s">
        <v>112</v>
      </c>
      <c r="BL190" t="s">
        <v>2787</v>
      </c>
      <c r="BM190" t="s">
        <v>74</v>
      </c>
      <c r="BN190">
        <v>28694699</v>
      </c>
      <c r="BO190" t="s">
        <v>74</v>
      </c>
      <c r="BP190" t="s">
        <v>74</v>
      </c>
      <c r="BQ190" t="s">
        <v>74</v>
      </c>
      <c r="BR190" t="s">
        <v>93</v>
      </c>
      <c r="BS190" t="s">
        <v>3415</v>
      </c>
      <c r="BT190" t="str">
        <f>HYPERLINK("https%3A%2F%2Fwww.webofscience.com%2Fwos%2Fwoscc%2Ffull-record%2FWOS:000404102000003","View Full Record in Web of Science")</f>
        <v>View Full Record in Web of Science</v>
      </c>
    </row>
    <row r="191" spans="1:72" x14ac:dyDescent="0.15">
      <c r="A191" t="s">
        <v>72</v>
      </c>
      <c r="B191" t="s">
        <v>3846</v>
      </c>
      <c r="C191" t="s">
        <v>74</v>
      </c>
      <c r="D191" t="s">
        <v>74</v>
      </c>
      <c r="E191" t="s">
        <v>74</v>
      </c>
      <c r="F191" t="s">
        <v>3847</v>
      </c>
      <c r="G191" t="s">
        <v>74</v>
      </c>
      <c r="H191" t="s">
        <v>74</v>
      </c>
      <c r="I191" t="s">
        <v>3848</v>
      </c>
      <c r="J191" t="s">
        <v>3849</v>
      </c>
      <c r="K191" t="s">
        <v>74</v>
      </c>
      <c r="L191" t="s">
        <v>74</v>
      </c>
      <c r="M191" t="s">
        <v>74</v>
      </c>
      <c r="N191" t="s">
        <v>78</v>
      </c>
      <c r="O191" t="s">
        <v>74</v>
      </c>
      <c r="P191" t="s">
        <v>74</v>
      </c>
      <c r="Q191" t="s">
        <v>74</v>
      </c>
      <c r="R191" t="s">
        <v>74</v>
      </c>
      <c r="S191" t="s">
        <v>74</v>
      </c>
      <c r="T191" t="s">
        <v>3850</v>
      </c>
      <c r="U191" t="s">
        <v>3851</v>
      </c>
      <c r="V191" t="s">
        <v>3852</v>
      </c>
      <c r="W191" t="s">
        <v>3853</v>
      </c>
      <c r="X191" t="s">
        <v>3854</v>
      </c>
      <c r="Y191" t="s">
        <v>3855</v>
      </c>
      <c r="Z191" t="s">
        <v>3856</v>
      </c>
      <c r="AA191" t="s">
        <v>74</v>
      </c>
      <c r="AB191" t="s">
        <v>74</v>
      </c>
      <c r="AC191" t="s">
        <v>74</v>
      </c>
      <c r="AD191" t="s">
        <v>74</v>
      </c>
      <c r="AE191" t="s">
        <v>74</v>
      </c>
      <c r="AF191" t="s">
        <v>74</v>
      </c>
      <c r="AG191">
        <v>35</v>
      </c>
      <c r="AH191">
        <v>35</v>
      </c>
      <c r="AI191">
        <v>35</v>
      </c>
      <c r="AJ191">
        <v>24</v>
      </c>
      <c r="AK191">
        <v>215</v>
      </c>
      <c r="AL191" t="s">
        <v>74</v>
      </c>
      <c r="AM191" t="s">
        <v>74</v>
      </c>
      <c r="AN191" t="s">
        <v>74</v>
      </c>
      <c r="AO191" t="s">
        <v>3857</v>
      </c>
      <c r="AP191" t="s">
        <v>3858</v>
      </c>
      <c r="AQ191" t="s">
        <v>74</v>
      </c>
      <c r="AR191" t="s">
        <v>74</v>
      </c>
      <c r="AS191" t="s">
        <v>74</v>
      </c>
      <c r="AT191" t="s">
        <v>437</v>
      </c>
      <c r="AU191">
        <v>2019</v>
      </c>
      <c r="AV191">
        <v>15</v>
      </c>
      <c r="AW191">
        <v>43</v>
      </c>
      <c r="AX191" t="s">
        <v>74</v>
      </c>
      <c r="AY191" t="s">
        <v>74</v>
      </c>
      <c r="AZ191" t="s">
        <v>74</v>
      </c>
      <c r="BA191" t="s">
        <v>74</v>
      </c>
      <c r="BB191" t="s">
        <v>74</v>
      </c>
      <c r="BC191" t="s">
        <v>74</v>
      </c>
      <c r="BD191">
        <v>1901014</v>
      </c>
      <c r="BE191" t="s">
        <v>3859</v>
      </c>
      <c r="BF191" t="str">
        <f>HYPERLINK("http://dx.doi.org/10.1002/smll.201901014","http://dx.doi.org/10.1002/smll.201901014")</f>
        <v>http://dx.doi.org/10.1002/smll.201901014</v>
      </c>
      <c r="BG191" t="s">
        <v>74</v>
      </c>
      <c r="BH191" t="s">
        <v>785</v>
      </c>
      <c r="BI191" t="s">
        <v>74</v>
      </c>
      <c r="BJ191" t="s">
        <v>2496</v>
      </c>
      <c r="BK191" t="s">
        <v>112</v>
      </c>
      <c r="BL191" t="s">
        <v>2124</v>
      </c>
      <c r="BM191" t="s">
        <v>74</v>
      </c>
      <c r="BN191">
        <v>31478613</v>
      </c>
      <c r="BO191" t="s">
        <v>74</v>
      </c>
      <c r="BP191" t="s">
        <v>74</v>
      </c>
      <c r="BQ191" t="s">
        <v>74</v>
      </c>
      <c r="BR191" t="s">
        <v>93</v>
      </c>
      <c r="BS191" t="s">
        <v>3860</v>
      </c>
      <c r="BT191" t="str">
        <f>HYPERLINK("https%3A%2F%2Fwww.webofscience.com%2Fwos%2Fwoscc%2Ffull-record%2FWOS:000484852100001","View Full Record in Web of Science")</f>
        <v>View Full Record in Web of Science</v>
      </c>
    </row>
    <row r="192" spans="1:72" x14ac:dyDescent="0.15">
      <c r="A192" t="s">
        <v>72</v>
      </c>
      <c r="B192" t="s">
        <v>6135</v>
      </c>
      <c r="C192" t="s">
        <v>74</v>
      </c>
      <c r="D192" t="s">
        <v>74</v>
      </c>
      <c r="E192" t="s">
        <v>74</v>
      </c>
      <c r="F192" t="s">
        <v>6136</v>
      </c>
      <c r="G192" t="s">
        <v>74</v>
      </c>
      <c r="H192" t="s">
        <v>74</v>
      </c>
      <c r="I192" t="s">
        <v>6137</v>
      </c>
      <c r="J192" t="s">
        <v>6138</v>
      </c>
      <c r="K192" t="s">
        <v>74</v>
      </c>
      <c r="L192" t="s">
        <v>74</v>
      </c>
      <c r="M192" t="s">
        <v>74</v>
      </c>
      <c r="N192" t="s">
        <v>78</v>
      </c>
      <c r="O192" t="s">
        <v>74</v>
      </c>
      <c r="P192" t="s">
        <v>74</v>
      </c>
      <c r="Q192" t="s">
        <v>74</v>
      </c>
      <c r="R192" t="s">
        <v>74</v>
      </c>
      <c r="S192" t="s">
        <v>74</v>
      </c>
      <c r="T192" t="s">
        <v>6139</v>
      </c>
      <c r="U192" t="s">
        <v>6140</v>
      </c>
      <c r="V192" t="s">
        <v>6141</v>
      </c>
      <c r="W192" t="s">
        <v>6142</v>
      </c>
      <c r="X192" t="s">
        <v>6143</v>
      </c>
      <c r="Y192" t="s">
        <v>6144</v>
      </c>
      <c r="Z192" t="s">
        <v>6145</v>
      </c>
      <c r="AA192" t="s">
        <v>6146</v>
      </c>
      <c r="AB192" t="s">
        <v>6147</v>
      </c>
      <c r="AC192" t="s">
        <v>74</v>
      </c>
      <c r="AD192" t="s">
        <v>74</v>
      </c>
      <c r="AE192" t="s">
        <v>74</v>
      </c>
      <c r="AF192" t="s">
        <v>74</v>
      </c>
      <c r="AG192">
        <v>80</v>
      </c>
      <c r="AH192">
        <v>35</v>
      </c>
      <c r="AI192">
        <v>36</v>
      </c>
      <c r="AJ192">
        <v>2</v>
      </c>
      <c r="AK192">
        <v>30</v>
      </c>
      <c r="AL192" t="s">
        <v>74</v>
      </c>
      <c r="AM192" t="s">
        <v>74</v>
      </c>
      <c r="AN192" t="s">
        <v>74</v>
      </c>
      <c r="AO192" t="s">
        <v>6148</v>
      </c>
      <c r="AP192" t="s">
        <v>6149</v>
      </c>
      <c r="AQ192" t="s">
        <v>74</v>
      </c>
      <c r="AR192" t="s">
        <v>74</v>
      </c>
      <c r="AS192" t="s">
        <v>74</v>
      </c>
      <c r="AT192" t="s">
        <v>364</v>
      </c>
      <c r="AU192">
        <v>2017</v>
      </c>
      <c r="AV192">
        <v>141</v>
      </c>
      <c r="AW192">
        <v>5</v>
      </c>
      <c r="AX192" t="s">
        <v>74</v>
      </c>
      <c r="AY192" t="s">
        <v>74</v>
      </c>
      <c r="AZ192" t="s">
        <v>74</v>
      </c>
      <c r="BA192" t="s">
        <v>74</v>
      </c>
      <c r="BB192">
        <v>887</v>
      </c>
      <c r="BC192">
        <v>896</v>
      </c>
      <c r="BD192" t="s">
        <v>74</v>
      </c>
      <c r="BE192" t="s">
        <v>6150</v>
      </c>
      <c r="BF192" t="str">
        <f>HYPERLINK("http://dx.doi.org/10.1002/ijc.30759","http://dx.doi.org/10.1002/ijc.30759")</f>
        <v>http://dx.doi.org/10.1002/ijc.30759</v>
      </c>
      <c r="BG192" t="s">
        <v>74</v>
      </c>
      <c r="BH192" t="s">
        <v>74</v>
      </c>
      <c r="BI192" t="s">
        <v>74</v>
      </c>
      <c r="BJ192" t="s">
        <v>146</v>
      </c>
      <c r="BK192" t="s">
        <v>112</v>
      </c>
      <c r="BL192" t="s">
        <v>146</v>
      </c>
      <c r="BM192" t="s">
        <v>74</v>
      </c>
      <c r="BN192">
        <v>28470712</v>
      </c>
      <c r="BO192" t="s">
        <v>74</v>
      </c>
      <c r="BP192" t="s">
        <v>74</v>
      </c>
      <c r="BQ192" t="s">
        <v>74</v>
      </c>
      <c r="BR192" t="s">
        <v>93</v>
      </c>
      <c r="BS192" t="s">
        <v>6151</v>
      </c>
      <c r="BT192" t="str">
        <f>HYPERLINK("https%3A%2F%2Fwww.webofscience.com%2Fwos%2Fwoscc%2Ffull-record%2FWOS:000404842200004","View Full Record in Web of Science")</f>
        <v>View Full Record in Web of Science</v>
      </c>
    </row>
    <row r="193" spans="1:72" x14ac:dyDescent="0.15">
      <c r="A193" t="s">
        <v>72</v>
      </c>
      <c r="B193" t="s">
        <v>7809</v>
      </c>
      <c r="C193" t="s">
        <v>74</v>
      </c>
      <c r="D193" t="s">
        <v>74</v>
      </c>
      <c r="E193" t="s">
        <v>74</v>
      </c>
      <c r="F193" t="s">
        <v>7810</v>
      </c>
      <c r="G193" t="s">
        <v>74</v>
      </c>
      <c r="H193" t="s">
        <v>74</v>
      </c>
      <c r="I193" t="s">
        <v>7811</v>
      </c>
      <c r="J193" t="s">
        <v>4068</v>
      </c>
      <c r="K193" t="s">
        <v>74</v>
      </c>
      <c r="L193" t="s">
        <v>74</v>
      </c>
      <c r="M193" t="s">
        <v>74</v>
      </c>
      <c r="N193" t="s">
        <v>78</v>
      </c>
      <c r="O193" t="s">
        <v>74</v>
      </c>
      <c r="P193" t="s">
        <v>74</v>
      </c>
      <c r="Q193" t="s">
        <v>74</v>
      </c>
      <c r="R193" t="s">
        <v>74</v>
      </c>
      <c r="S193" t="s">
        <v>74</v>
      </c>
      <c r="T193" t="s">
        <v>7812</v>
      </c>
      <c r="U193" t="s">
        <v>7813</v>
      </c>
      <c r="V193" t="s">
        <v>7814</v>
      </c>
      <c r="W193" t="s">
        <v>7815</v>
      </c>
      <c r="X193" t="s">
        <v>7816</v>
      </c>
      <c r="Y193" t="s">
        <v>7817</v>
      </c>
      <c r="Z193" t="s">
        <v>7818</v>
      </c>
      <c r="AA193" t="s">
        <v>74</v>
      </c>
      <c r="AB193" t="s">
        <v>74</v>
      </c>
      <c r="AC193" t="s">
        <v>74</v>
      </c>
      <c r="AD193" t="s">
        <v>74</v>
      </c>
      <c r="AE193" t="s">
        <v>74</v>
      </c>
      <c r="AF193" t="s">
        <v>74</v>
      </c>
      <c r="AG193">
        <v>22</v>
      </c>
      <c r="AH193">
        <v>35</v>
      </c>
      <c r="AI193">
        <v>35</v>
      </c>
      <c r="AJ193">
        <v>2</v>
      </c>
      <c r="AK193">
        <v>18</v>
      </c>
      <c r="AL193" t="s">
        <v>74</v>
      </c>
      <c r="AM193" t="s">
        <v>74</v>
      </c>
      <c r="AN193" t="s">
        <v>74</v>
      </c>
      <c r="AO193" t="s">
        <v>4077</v>
      </c>
      <c r="AP193" t="s">
        <v>4078</v>
      </c>
      <c r="AQ193" t="s">
        <v>74</v>
      </c>
      <c r="AR193" t="s">
        <v>74</v>
      </c>
      <c r="AS193" t="s">
        <v>74</v>
      </c>
      <c r="AT193" t="s">
        <v>818</v>
      </c>
      <c r="AU193">
        <v>2018</v>
      </c>
      <c r="AV193">
        <v>28</v>
      </c>
      <c r="AW193">
        <v>4</v>
      </c>
      <c r="AX193" t="s">
        <v>74</v>
      </c>
      <c r="AY193" t="s">
        <v>74</v>
      </c>
      <c r="AZ193" t="s">
        <v>74</v>
      </c>
      <c r="BA193" t="s">
        <v>74</v>
      </c>
      <c r="BB193">
        <v>295</v>
      </c>
      <c r="BC193">
        <v>303</v>
      </c>
      <c r="BD193" t="s">
        <v>74</v>
      </c>
      <c r="BE193" t="s">
        <v>7819</v>
      </c>
      <c r="BF193" t="str">
        <f>HYPERLINK("http://dx.doi.org/10.1097/CMR.0000000000000450","http://dx.doi.org/10.1097/CMR.0000000000000450")</f>
        <v>http://dx.doi.org/10.1097/CMR.0000000000000450</v>
      </c>
      <c r="BG193" t="s">
        <v>74</v>
      </c>
      <c r="BH193" t="s">
        <v>74</v>
      </c>
      <c r="BI193" t="s">
        <v>74</v>
      </c>
      <c r="BJ193" t="s">
        <v>4080</v>
      </c>
      <c r="BK193" t="s">
        <v>112</v>
      </c>
      <c r="BL193" t="s">
        <v>4081</v>
      </c>
      <c r="BM193" t="s">
        <v>74</v>
      </c>
      <c r="BN193">
        <v>29750752</v>
      </c>
      <c r="BO193" t="s">
        <v>74</v>
      </c>
      <c r="BP193" t="s">
        <v>74</v>
      </c>
      <c r="BQ193" t="s">
        <v>74</v>
      </c>
      <c r="BR193" t="s">
        <v>93</v>
      </c>
      <c r="BS193" t="s">
        <v>7820</v>
      </c>
      <c r="BT193" t="str">
        <f>HYPERLINK("https%3A%2F%2Fwww.webofscience.com%2Fwos%2Fwoscc%2Ffull-record%2FWOS:000437756800005","View Full Record in Web of Science")</f>
        <v>View Full Record in Web of Science</v>
      </c>
    </row>
    <row r="194" spans="1:72" x14ac:dyDescent="0.15">
      <c r="A194" t="s">
        <v>72</v>
      </c>
      <c r="B194" t="s">
        <v>8933</v>
      </c>
      <c r="C194" t="s">
        <v>74</v>
      </c>
      <c r="D194" t="s">
        <v>74</v>
      </c>
      <c r="E194" t="s">
        <v>74</v>
      </c>
      <c r="F194" t="s">
        <v>8934</v>
      </c>
      <c r="G194" t="s">
        <v>74</v>
      </c>
      <c r="H194" t="s">
        <v>74</v>
      </c>
      <c r="I194" t="s">
        <v>8935</v>
      </c>
      <c r="J194" t="s">
        <v>8936</v>
      </c>
      <c r="K194" t="s">
        <v>74</v>
      </c>
      <c r="L194" t="s">
        <v>74</v>
      </c>
      <c r="M194" t="s">
        <v>74</v>
      </c>
      <c r="N194" t="s">
        <v>78</v>
      </c>
      <c r="O194" t="s">
        <v>74</v>
      </c>
      <c r="P194" t="s">
        <v>74</v>
      </c>
      <c r="Q194" t="s">
        <v>74</v>
      </c>
      <c r="R194" t="s">
        <v>74</v>
      </c>
      <c r="S194" t="s">
        <v>74</v>
      </c>
      <c r="T194" t="s">
        <v>8937</v>
      </c>
      <c r="U194" t="s">
        <v>8938</v>
      </c>
      <c r="V194" t="s">
        <v>8939</v>
      </c>
      <c r="W194" t="s">
        <v>8940</v>
      </c>
      <c r="X194" t="s">
        <v>8941</v>
      </c>
      <c r="Y194" t="s">
        <v>8942</v>
      </c>
      <c r="Z194" t="s">
        <v>8943</v>
      </c>
      <c r="AA194" t="s">
        <v>8944</v>
      </c>
      <c r="AB194" t="s">
        <v>8945</v>
      </c>
      <c r="AC194" t="s">
        <v>74</v>
      </c>
      <c r="AD194" t="s">
        <v>74</v>
      </c>
      <c r="AE194" t="s">
        <v>74</v>
      </c>
      <c r="AF194" t="s">
        <v>74</v>
      </c>
      <c r="AG194">
        <v>75</v>
      </c>
      <c r="AH194">
        <v>35</v>
      </c>
      <c r="AI194">
        <v>36</v>
      </c>
      <c r="AJ194">
        <v>0</v>
      </c>
      <c r="AK194">
        <v>8</v>
      </c>
      <c r="AL194" t="s">
        <v>74</v>
      </c>
      <c r="AM194" t="s">
        <v>74</v>
      </c>
      <c r="AN194" t="s">
        <v>74</v>
      </c>
      <c r="AO194" t="s">
        <v>74</v>
      </c>
      <c r="AP194" t="s">
        <v>8946</v>
      </c>
      <c r="AQ194" t="s">
        <v>74</v>
      </c>
      <c r="AR194" t="s">
        <v>74</v>
      </c>
      <c r="AS194" t="s">
        <v>74</v>
      </c>
      <c r="AT194" t="s">
        <v>8947</v>
      </c>
      <c r="AU194">
        <v>2018</v>
      </c>
      <c r="AV194">
        <v>16</v>
      </c>
      <c r="AW194" t="s">
        <v>74</v>
      </c>
      <c r="AX194" t="s">
        <v>74</v>
      </c>
      <c r="AY194" t="s">
        <v>74</v>
      </c>
      <c r="AZ194" t="s">
        <v>74</v>
      </c>
      <c r="BA194" t="s">
        <v>74</v>
      </c>
      <c r="BB194" t="s">
        <v>74</v>
      </c>
      <c r="BC194" t="s">
        <v>74</v>
      </c>
      <c r="BD194">
        <v>52</v>
      </c>
      <c r="BE194" t="s">
        <v>8948</v>
      </c>
      <c r="BF194" t="str">
        <f>HYPERLINK("http://dx.doi.org/10.1186/s12915-018-0522-7","http://dx.doi.org/10.1186/s12915-018-0522-7")</f>
        <v>http://dx.doi.org/10.1186/s12915-018-0522-7</v>
      </c>
      <c r="BG194" t="s">
        <v>74</v>
      </c>
      <c r="BH194" t="s">
        <v>74</v>
      </c>
      <c r="BI194" t="s">
        <v>74</v>
      </c>
      <c r="BJ194" t="s">
        <v>5398</v>
      </c>
      <c r="BK194" t="s">
        <v>112</v>
      </c>
      <c r="BL194" t="s">
        <v>5399</v>
      </c>
      <c r="BM194" t="s">
        <v>74</v>
      </c>
      <c r="BN194">
        <v>29759067</v>
      </c>
      <c r="BO194" t="s">
        <v>74</v>
      </c>
      <c r="BP194" t="s">
        <v>74</v>
      </c>
      <c r="BQ194" t="s">
        <v>74</v>
      </c>
      <c r="BR194" t="s">
        <v>93</v>
      </c>
      <c r="BS194" t="s">
        <v>8949</v>
      </c>
      <c r="BT194" t="str">
        <f>HYPERLINK("https%3A%2F%2Fwww.webofscience.com%2Fwos%2Fwoscc%2Ffull-record%2FWOS:000432834700001","View Full Record in Web of Science")</f>
        <v>View Full Record in Web of Science</v>
      </c>
    </row>
    <row r="195" spans="1:72" x14ac:dyDescent="0.15">
      <c r="A195" t="s">
        <v>72</v>
      </c>
      <c r="B195" t="s">
        <v>10735</v>
      </c>
      <c r="C195" t="s">
        <v>74</v>
      </c>
      <c r="D195" t="s">
        <v>74</v>
      </c>
      <c r="E195" t="s">
        <v>74</v>
      </c>
      <c r="F195" t="s">
        <v>10736</v>
      </c>
      <c r="G195" t="s">
        <v>74</v>
      </c>
      <c r="H195" t="s">
        <v>74</v>
      </c>
      <c r="I195" t="s">
        <v>10737</v>
      </c>
      <c r="J195" t="s">
        <v>5125</v>
      </c>
      <c r="K195" t="s">
        <v>74</v>
      </c>
      <c r="L195" t="s">
        <v>74</v>
      </c>
      <c r="M195" t="s">
        <v>74</v>
      </c>
      <c r="N195" t="s">
        <v>78</v>
      </c>
      <c r="O195" t="s">
        <v>74</v>
      </c>
      <c r="P195" t="s">
        <v>74</v>
      </c>
      <c r="Q195" t="s">
        <v>74</v>
      </c>
      <c r="R195" t="s">
        <v>74</v>
      </c>
      <c r="S195" t="s">
        <v>74</v>
      </c>
      <c r="T195" t="s">
        <v>10738</v>
      </c>
      <c r="U195" t="s">
        <v>10739</v>
      </c>
      <c r="V195" t="s">
        <v>10740</v>
      </c>
      <c r="W195" t="s">
        <v>10741</v>
      </c>
      <c r="X195" t="s">
        <v>10742</v>
      </c>
      <c r="Y195" t="s">
        <v>10743</v>
      </c>
      <c r="Z195" t="s">
        <v>10744</v>
      </c>
      <c r="AA195" t="s">
        <v>10745</v>
      </c>
      <c r="AB195" t="s">
        <v>10746</v>
      </c>
      <c r="AC195" t="s">
        <v>74</v>
      </c>
      <c r="AD195" t="s">
        <v>74</v>
      </c>
      <c r="AE195" t="s">
        <v>74</v>
      </c>
      <c r="AF195" t="s">
        <v>74</v>
      </c>
      <c r="AG195">
        <v>50</v>
      </c>
      <c r="AH195">
        <v>35</v>
      </c>
      <c r="AI195">
        <v>39</v>
      </c>
      <c r="AJ195">
        <v>0</v>
      </c>
      <c r="AK195">
        <v>11</v>
      </c>
      <c r="AL195" t="s">
        <v>74</v>
      </c>
      <c r="AM195" t="s">
        <v>74</v>
      </c>
      <c r="AN195" t="s">
        <v>74</v>
      </c>
      <c r="AO195" t="s">
        <v>5132</v>
      </c>
      <c r="AP195" t="s">
        <v>5133</v>
      </c>
      <c r="AQ195" t="s">
        <v>74</v>
      </c>
      <c r="AR195" t="s">
        <v>74</v>
      </c>
      <c r="AS195" t="s">
        <v>74</v>
      </c>
      <c r="AT195" t="s">
        <v>743</v>
      </c>
      <c r="AU195">
        <v>2011</v>
      </c>
      <c r="AV195">
        <v>37</v>
      </c>
      <c r="AW195">
        <v>2</v>
      </c>
      <c r="AX195" t="s">
        <v>74</v>
      </c>
      <c r="AY195" t="s">
        <v>74</v>
      </c>
      <c r="AZ195" t="s">
        <v>74</v>
      </c>
      <c r="BA195" t="s">
        <v>74</v>
      </c>
      <c r="BB195">
        <v>146</v>
      </c>
      <c r="BC195">
        <v>152</v>
      </c>
      <c r="BD195" t="s">
        <v>74</v>
      </c>
      <c r="BE195" t="s">
        <v>10747</v>
      </c>
      <c r="BF195" t="str">
        <f>HYPERLINK("http://dx.doi.org/10.1055/s-0030-1270342","http://dx.doi.org/10.1055/s-0030-1270342")</f>
        <v>http://dx.doi.org/10.1055/s-0030-1270342</v>
      </c>
      <c r="BG195" t="s">
        <v>74</v>
      </c>
      <c r="BH195" t="s">
        <v>74</v>
      </c>
      <c r="BI195" t="s">
        <v>74</v>
      </c>
      <c r="BJ195" t="s">
        <v>1635</v>
      </c>
      <c r="BK195" t="s">
        <v>112</v>
      </c>
      <c r="BL195" t="s">
        <v>1636</v>
      </c>
      <c r="BM195" t="s">
        <v>74</v>
      </c>
      <c r="BN195">
        <v>21370216</v>
      </c>
      <c r="BO195" t="s">
        <v>74</v>
      </c>
      <c r="BP195" t="s">
        <v>74</v>
      </c>
      <c r="BQ195" t="s">
        <v>74</v>
      </c>
      <c r="BR195" t="s">
        <v>93</v>
      </c>
      <c r="BS195" t="s">
        <v>10748</v>
      </c>
      <c r="BT195" t="str">
        <f>HYPERLINK("https%3A%2F%2Fwww.webofscience.com%2Fwos%2Fwoscc%2Ffull-record%2FWOS:000287558800010","View Full Record in Web of Science")</f>
        <v>View Full Record in Web of Science</v>
      </c>
    </row>
    <row r="196" spans="1:72" x14ac:dyDescent="0.15">
      <c r="A196" t="s">
        <v>72</v>
      </c>
      <c r="B196" t="s">
        <v>3430</v>
      </c>
      <c r="C196" t="s">
        <v>74</v>
      </c>
      <c r="D196" t="s">
        <v>74</v>
      </c>
      <c r="E196" t="s">
        <v>74</v>
      </c>
      <c r="F196" t="s">
        <v>3431</v>
      </c>
      <c r="G196" t="s">
        <v>74</v>
      </c>
      <c r="H196" t="s">
        <v>74</v>
      </c>
      <c r="I196" t="s">
        <v>3432</v>
      </c>
      <c r="J196" t="s">
        <v>1828</v>
      </c>
      <c r="K196" t="s">
        <v>74</v>
      </c>
      <c r="L196" t="s">
        <v>74</v>
      </c>
      <c r="M196" t="s">
        <v>74</v>
      </c>
      <c r="N196" t="s">
        <v>78</v>
      </c>
      <c r="O196" t="s">
        <v>74</v>
      </c>
      <c r="P196" t="s">
        <v>74</v>
      </c>
      <c r="Q196" t="s">
        <v>74</v>
      </c>
      <c r="R196" t="s">
        <v>74</v>
      </c>
      <c r="S196" t="s">
        <v>74</v>
      </c>
      <c r="T196" t="s">
        <v>74</v>
      </c>
      <c r="U196" t="s">
        <v>3433</v>
      </c>
      <c r="V196" t="s">
        <v>3434</v>
      </c>
      <c r="W196" t="s">
        <v>3435</v>
      </c>
      <c r="X196" t="s">
        <v>3436</v>
      </c>
      <c r="Y196" t="s">
        <v>3437</v>
      </c>
      <c r="Z196" t="s">
        <v>3438</v>
      </c>
      <c r="AA196" t="s">
        <v>3439</v>
      </c>
      <c r="AB196" t="s">
        <v>3440</v>
      </c>
      <c r="AC196" t="s">
        <v>74</v>
      </c>
      <c r="AD196" t="s">
        <v>74</v>
      </c>
      <c r="AE196" t="s">
        <v>74</v>
      </c>
      <c r="AF196" t="s">
        <v>74</v>
      </c>
      <c r="AG196">
        <v>69</v>
      </c>
      <c r="AH196">
        <v>34</v>
      </c>
      <c r="AI196">
        <v>34</v>
      </c>
      <c r="AJ196">
        <v>0</v>
      </c>
      <c r="AK196">
        <v>9</v>
      </c>
      <c r="AL196" t="s">
        <v>74</v>
      </c>
      <c r="AM196" t="s">
        <v>74</v>
      </c>
      <c r="AN196" t="s">
        <v>74</v>
      </c>
      <c r="AO196" t="s">
        <v>1837</v>
      </c>
      <c r="AP196" t="s">
        <v>74</v>
      </c>
      <c r="AQ196" t="s">
        <v>74</v>
      </c>
      <c r="AR196" t="s">
        <v>74</v>
      </c>
      <c r="AS196" t="s">
        <v>74</v>
      </c>
      <c r="AT196" t="s">
        <v>3441</v>
      </c>
      <c r="AU196">
        <v>2017</v>
      </c>
      <c r="AV196">
        <v>7</v>
      </c>
      <c r="AW196" t="s">
        <v>74</v>
      </c>
      <c r="AX196" t="s">
        <v>74</v>
      </c>
      <c r="AY196" t="s">
        <v>74</v>
      </c>
      <c r="AZ196" t="s">
        <v>74</v>
      </c>
      <c r="BA196" t="s">
        <v>74</v>
      </c>
      <c r="BB196" t="s">
        <v>74</v>
      </c>
      <c r="BC196" t="s">
        <v>74</v>
      </c>
      <c r="BD196">
        <v>8180</v>
      </c>
      <c r="BE196" t="s">
        <v>3442</v>
      </c>
      <c r="BF196" t="str">
        <f>HYPERLINK("http://dx.doi.org/10.1038/s41598-017-08250-0","http://dx.doi.org/10.1038/s41598-017-08250-0")</f>
        <v>http://dx.doi.org/10.1038/s41598-017-08250-0</v>
      </c>
      <c r="BG196" t="s">
        <v>74</v>
      </c>
      <c r="BH196" t="s">
        <v>74</v>
      </c>
      <c r="BI196" t="s">
        <v>74</v>
      </c>
      <c r="BJ196" t="s">
        <v>545</v>
      </c>
      <c r="BK196" t="s">
        <v>112</v>
      </c>
      <c r="BL196" t="s">
        <v>546</v>
      </c>
      <c r="BM196" t="s">
        <v>74</v>
      </c>
      <c r="BN196">
        <v>28811546</v>
      </c>
      <c r="BO196" t="s">
        <v>74</v>
      </c>
      <c r="BP196" t="s">
        <v>74</v>
      </c>
      <c r="BQ196" t="s">
        <v>74</v>
      </c>
      <c r="BR196" t="s">
        <v>93</v>
      </c>
      <c r="BS196" t="s">
        <v>3443</v>
      </c>
      <c r="BT196" t="str">
        <f>HYPERLINK("https%3A%2F%2Fwww.webofscience.com%2Fwos%2Fwoscc%2Ffull-record%2FWOS:000407570000057","View Full Record in Web of Science")</f>
        <v>View Full Record in Web of Science</v>
      </c>
    </row>
    <row r="197" spans="1:72" x14ac:dyDescent="0.15">
      <c r="A197" t="s">
        <v>72</v>
      </c>
      <c r="B197" t="s">
        <v>3517</v>
      </c>
      <c r="C197" t="s">
        <v>74</v>
      </c>
      <c r="D197" t="s">
        <v>74</v>
      </c>
      <c r="E197" t="s">
        <v>74</v>
      </c>
      <c r="F197" t="s">
        <v>3518</v>
      </c>
      <c r="G197" t="s">
        <v>74</v>
      </c>
      <c r="H197" t="s">
        <v>74</v>
      </c>
      <c r="I197" t="s">
        <v>3519</v>
      </c>
      <c r="J197" t="s">
        <v>1137</v>
      </c>
      <c r="K197" t="s">
        <v>74</v>
      </c>
      <c r="L197" t="s">
        <v>74</v>
      </c>
      <c r="M197" t="s">
        <v>74</v>
      </c>
      <c r="N197" t="s">
        <v>78</v>
      </c>
      <c r="O197" t="s">
        <v>74</v>
      </c>
      <c r="P197" t="s">
        <v>74</v>
      </c>
      <c r="Q197" t="s">
        <v>74</v>
      </c>
      <c r="R197" t="s">
        <v>74</v>
      </c>
      <c r="S197" t="s">
        <v>74</v>
      </c>
      <c r="T197" t="s">
        <v>3520</v>
      </c>
      <c r="U197" t="s">
        <v>3521</v>
      </c>
      <c r="V197" t="s">
        <v>3522</v>
      </c>
      <c r="W197" t="s">
        <v>3523</v>
      </c>
      <c r="X197" t="s">
        <v>3524</v>
      </c>
      <c r="Y197" t="s">
        <v>3525</v>
      </c>
      <c r="Z197" t="s">
        <v>3526</v>
      </c>
      <c r="AA197" t="s">
        <v>3527</v>
      </c>
      <c r="AB197" t="s">
        <v>3528</v>
      </c>
      <c r="AC197" t="s">
        <v>74</v>
      </c>
      <c r="AD197" t="s">
        <v>74</v>
      </c>
      <c r="AE197" t="s">
        <v>74</v>
      </c>
      <c r="AF197" t="s">
        <v>74</v>
      </c>
      <c r="AG197">
        <v>33</v>
      </c>
      <c r="AH197">
        <v>34</v>
      </c>
      <c r="AI197">
        <v>34</v>
      </c>
      <c r="AJ197">
        <v>24</v>
      </c>
      <c r="AK197">
        <v>170</v>
      </c>
      <c r="AL197" t="s">
        <v>74</v>
      </c>
      <c r="AM197" t="s">
        <v>74</v>
      </c>
      <c r="AN197" t="s">
        <v>74</v>
      </c>
      <c r="AO197" t="s">
        <v>1147</v>
      </c>
      <c r="AP197" t="s">
        <v>74</v>
      </c>
      <c r="AQ197" t="s">
        <v>74</v>
      </c>
      <c r="AR197" t="s">
        <v>74</v>
      </c>
      <c r="AS197" t="s">
        <v>74</v>
      </c>
      <c r="AT197" t="s">
        <v>1111</v>
      </c>
      <c r="AU197">
        <v>2019</v>
      </c>
      <c r="AV197">
        <v>4</v>
      </c>
      <c r="AW197">
        <v>5</v>
      </c>
      <c r="AX197" t="s">
        <v>74</v>
      </c>
      <c r="AY197" t="s">
        <v>74</v>
      </c>
      <c r="AZ197" t="s">
        <v>74</v>
      </c>
      <c r="BA197" t="s">
        <v>74</v>
      </c>
      <c r="BB197">
        <v>1433</v>
      </c>
      <c r="BC197">
        <v>1441</v>
      </c>
      <c r="BD197" t="s">
        <v>74</v>
      </c>
      <c r="BE197" t="s">
        <v>3529</v>
      </c>
      <c r="BF197" t="str">
        <f>HYPERLINK("http://dx.doi.org/10.1021/acssensors.9b00621","http://dx.doi.org/10.1021/acssensors.9b00621")</f>
        <v>http://dx.doi.org/10.1021/acssensors.9b00621</v>
      </c>
      <c r="BG197" t="s">
        <v>74</v>
      </c>
      <c r="BH197" t="s">
        <v>74</v>
      </c>
      <c r="BI197" t="s">
        <v>74</v>
      </c>
      <c r="BJ197" t="s">
        <v>1149</v>
      </c>
      <c r="BK197" t="s">
        <v>112</v>
      </c>
      <c r="BL197" t="s">
        <v>1150</v>
      </c>
      <c r="BM197" t="s">
        <v>74</v>
      </c>
      <c r="BN197">
        <v>31017389</v>
      </c>
      <c r="BO197" t="s">
        <v>74</v>
      </c>
      <c r="BP197" t="s">
        <v>74</v>
      </c>
      <c r="BQ197" t="s">
        <v>74</v>
      </c>
      <c r="BR197" t="s">
        <v>93</v>
      </c>
      <c r="BS197" t="s">
        <v>3530</v>
      </c>
      <c r="BT197" t="str">
        <f>HYPERLINK("https%3A%2F%2Fwww.webofscience.com%2Fwos%2Fwoscc%2Ffull-record%2FWOS:000469410100038","View Full Record in Web of Science")</f>
        <v>View Full Record in Web of Science</v>
      </c>
    </row>
    <row r="198" spans="1:72" x14ac:dyDescent="0.15">
      <c r="A198" t="s">
        <v>72</v>
      </c>
      <c r="B198" t="s">
        <v>4083</v>
      </c>
      <c r="C198" t="s">
        <v>74</v>
      </c>
      <c r="D198" t="s">
        <v>74</v>
      </c>
      <c r="E198" t="s">
        <v>74</v>
      </c>
      <c r="F198" t="s">
        <v>4084</v>
      </c>
      <c r="G198" t="s">
        <v>74</v>
      </c>
      <c r="H198" t="s">
        <v>74</v>
      </c>
      <c r="I198" t="s">
        <v>4085</v>
      </c>
      <c r="J198" t="s">
        <v>4086</v>
      </c>
      <c r="K198" t="s">
        <v>74</v>
      </c>
      <c r="L198" t="s">
        <v>74</v>
      </c>
      <c r="M198" t="s">
        <v>74</v>
      </c>
      <c r="N198" t="s">
        <v>78</v>
      </c>
      <c r="O198" t="s">
        <v>74</v>
      </c>
      <c r="P198" t="s">
        <v>74</v>
      </c>
      <c r="Q198" t="s">
        <v>74</v>
      </c>
      <c r="R198" t="s">
        <v>74</v>
      </c>
      <c r="S198" t="s">
        <v>74</v>
      </c>
      <c r="T198" t="s">
        <v>74</v>
      </c>
      <c r="U198" t="s">
        <v>4087</v>
      </c>
      <c r="V198" t="s">
        <v>4088</v>
      </c>
      <c r="W198" t="s">
        <v>4089</v>
      </c>
      <c r="X198" t="s">
        <v>4090</v>
      </c>
      <c r="Y198" t="s">
        <v>4091</v>
      </c>
      <c r="Z198" t="s">
        <v>4092</v>
      </c>
      <c r="AA198" t="s">
        <v>4093</v>
      </c>
      <c r="AB198" t="s">
        <v>4094</v>
      </c>
      <c r="AC198" t="s">
        <v>74</v>
      </c>
      <c r="AD198" t="s">
        <v>74</v>
      </c>
      <c r="AE198" t="s">
        <v>74</v>
      </c>
      <c r="AF198" t="s">
        <v>74</v>
      </c>
      <c r="AG198">
        <v>44</v>
      </c>
      <c r="AH198">
        <v>34</v>
      </c>
      <c r="AI198">
        <v>35</v>
      </c>
      <c r="AJ198">
        <v>1</v>
      </c>
      <c r="AK198">
        <v>17</v>
      </c>
      <c r="AL198" t="s">
        <v>74</v>
      </c>
      <c r="AM198" t="s">
        <v>74</v>
      </c>
      <c r="AN198" t="s">
        <v>74</v>
      </c>
      <c r="AO198" t="s">
        <v>4095</v>
      </c>
      <c r="AP198" t="s">
        <v>4096</v>
      </c>
      <c r="AQ198" t="s">
        <v>74</v>
      </c>
      <c r="AR198" t="s">
        <v>74</v>
      </c>
      <c r="AS198" t="s">
        <v>74</v>
      </c>
      <c r="AT198" t="s">
        <v>640</v>
      </c>
      <c r="AU198">
        <v>2016</v>
      </c>
      <c r="AV198">
        <v>48</v>
      </c>
      <c r="AW198" t="s">
        <v>74</v>
      </c>
      <c r="AX198" t="s">
        <v>74</v>
      </c>
      <c r="AY198" t="s">
        <v>74</v>
      </c>
      <c r="AZ198" t="s">
        <v>74</v>
      </c>
      <c r="BA198" t="s">
        <v>74</v>
      </c>
      <c r="BB198" t="s">
        <v>74</v>
      </c>
      <c r="BC198" t="s">
        <v>74</v>
      </c>
      <c r="BD198" t="s">
        <v>4097</v>
      </c>
      <c r="BE198" t="s">
        <v>4098</v>
      </c>
      <c r="BF198" t="str">
        <f>HYPERLINK("http://dx.doi.org/10.1038/emm.2015.110","http://dx.doi.org/10.1038/emm.2015.110")</f>
        <v>http://dx.doi.org/10.1038/emm.2015.110</v>
      </c>
      <c r="BG198" t="s">
        <v>74</v>
      </c>
      <c r="BH198" t="s">
        <v>74</v>
      </c>
      <c r="BI198" t="s">
        <v>74</v>
      </c>
      <c r="BJ198" t="s">
        <v>769</v>
      </c>
      <c r="BK198" t="s">
        <v>112</v>
      </c>
      <c r="BL198" t="s">
        <v>771</v>
      </c>
      <c r="BM198" t="s">
        <v>74</v>
      </c>
      <c r="BN198">
        <v>26846451</v>
      </c>
      <c r="BO198" t="s">
        <v>74</v>
      </c>
      <c r="BP198" t="s">
        <v>74</v>
      </c>
      <c r="BQ198" t="s">
        <v>74</v>
      </c>
      <c r="BR198" t="s">
        <v>93</v>
      </c>
      <c r="BS198" t="s">
        <v>4099</v>
      </c>
      <c r="BT198" t="str">
        <f>HYPERLINK("https%3A%2F%2Fwww.webofscience.com%2Fwos%2Fwoscc%2Ffull-record%2FWOS:000369891800002","View Full Record in Web of Science")</f>
        <v>View Full Record in Web of Science</v>
      </c>
    </row>
    <row r="199" spans="1:72" x14ac:dyDescent="0.15">
      <c r="A199" t="s">
        <v>72</v>
      </c>
      <c r="B199" t="s">
        <v>4432</v>
      </c>
      <c r="C199" t="s">
        <v>74</v>
      </c>
      <c r="D199" t="s">
        <v>74</v>
      </c>
      <c r="E199" t="s">
        <v>74</v>
      </c>
      <c r="F199" t="s">
        <v>4433</v>
      </c>
      <c r="G199" t="s">
        <v>74</v>
      </c>
      <c r="H199" t="s">
        <v>74</v>
      </c>
      <c r="I199" t="s">
        <v>4434</v>
      </c>
      <c r="J199" t="s">
        <v>1085</v>
      </c>
      <c r="K199" t="s">
        <v>74</v>
      </c>
      <c r="L199" t="s">
        <v>74</v>
      </c>
      <c r="M199" t="s">
        <v>74</v>
      </c>
      <c r="N199" t="s">
        <v>78</v>
      </c>
      <c r="O199" t="s">
        <v>74</v>
      </c>
      <c r="P199" t="s">
        <v>74</v>
      </c>
      <c r="Q199" t="s">
        <v>74</v>
      </c>
      <c r="R199" t="s">
        <v>74</v>
      </c>
      <c r="S199" t="s">
        <v>74</v>
      </c>
      <c r="T199" t="s">
        <v>4435</v>
      </c>
      <c r="U199" t="s">
        <v>4436</v>
      </c>
      <c r="V199" t="s">
        <v>4437</v>
      </c>
      <c r="W199" t="s">
        <v>4438</v>
      </c>
      <c r="X199" t="s">
        <v>4439</v>
      </c>
      <c r="Y199" t="s">
        <v>4440</v>
      </c>
      <c r="Z199" t="s">
        <v>4441</v>
      </c>
      <c r="AA199" t="s">
        <v>74</v>
      </c>
      <c r="AB199" t="s">
        <v>74</v>
      </c>
      <c r="AC199" t="s">
        <v>74</v>
      </c>
      <c r="AD199" t="s">
        <v>74</v>
      </c>
      <c r="AE199" t="s">
        <v>74</v>
      </c>
      <c r="AF199" t="s">
        <v>74</v>
      </c>
      <c r="AG199">
        <v>64</v>
      </c>
      <c r="AH199">
        <v>34</v>
      </c>
      <c r="AI199">
        <v>34</v>
      </c>
      <c r="AJ199">
        <v>68</v>
      </c>
      <c r="AK199">
        <v>173</v>
      </c>
      <c r="AL199" t="s">
        <v>74</v>
      </c>
      <c r="AM199" t="s">
        <v>74</v>
      </c>
      <c r="AN199" t="s">
        <v>74</v>
      </c>
      <c r="AO199" t="s">
        <v>1094</v>
      </c>
      <c r="AP199" t="s">
        <v>74</v>
      </c>
      <c r="AQ199" t="s">
        <v>74</v>
      </c>
      <c r="AR199" t="s">
        <v>74</v>
      </c>
      <c r="AS199" t="s">
        <v>74</v>
      </c>
      <c r="AT199" t="s">
        <v>74</v>
      </c>
      <c r="AU199">
        <v>2020</v>
      </c>
      <c r="AV199">
        <v>10</v>
      </c>
      <c r="AW199">
        <v>22</v>
      </c>
      <c r="AX199" t="s">
        <v>74</v>
      </c>
      <c r="AY199" t="s">
        <v>74</v>
      </c>
      <c r="AZ199" t="s">
        <v>74</v>
      </c>
      <c r="BA199" t="s">
        <v>74</v>
      </c>
      <c r="BB199">
        <v>10262</v>
      </c>
      <c r="BC199">
        <v>10273</v>
      </c>
      <c r="BD199" t="s">
        <v>74</v>
      </c>
      <c r="BE199" t="s">
        <v>4442</v>
      </c>
      <c r="BF199" t="str">
        <f>HYPERLINK("http://dx.doi.org/10.7150/thno.49047","http://dx.doi.org/10.7150/thno.49047")</f>
        <v>http://dx.doi.org/10.7150/thno.49047</v>
      </c>
      <c r="BG199" t="s">
        <v>74</v>
      </c>
      <c r="BH199" t="s">
        <v>74</v>
      </c>
      <c r="BI199" t="s">
        <v>74</v>
      </c>
      <c r="BJ199" t="s">
        <v>506</v>
      </c>
      <c r="BK199" t="s">
        <v>112</v>
      </c>
      <c r="BL199" t="s">
        <v>507</v>
      </c>
      <c r="BM199" t="s">
        <v>74</v>
      </c>
      <c r="BN199">
        <v>32929347</v>
      </c>
      <c r="BO199" t="s">
        <v>74</v>
      </c>
      <c r="BP199" t="s">
        <v>74</v>
      </c>
      <c r="BQ199" t="s">
        <v>74</v>
      </c>
      <c r="BR199" t="s">
        <v>93</v>
      </c>
      <c r="BS199" t="s">
        <v>4443</v>
      </c>
      <c r="BT199" t="str">
        <f>HYPERLINK("https%3A%2F%2Fwww.webofscience.com%2Fwos%2Fwoscc%2Ffull-record%2FWOS:000572486100002","View Full Record in Web of Science")</f>
        <v>View Full Record in Web of Science</v>
      </c>
    </row>
    <row r="200" spans="1:72" x14ac:dyDescent="0.15">
      <c r="A200" t="s">
        <v>72</v>
      </c>
      <c r="B200" t="s">
        <v>6997</v>
      </c>
      <c r="C200" t="s">
        <v>74</v>
      </c>
      <c r="D200" t="s">
        <v>74</v>
      </c>
      <c r="E200" t="s">
        <v>74</v>
      </c>
      <c r="F200" t="s">
        <v>6998</v>
      </c>
      <c r="G200" t="s">
        <v>74</v>
      </c>
      <c r="H200" t="s">
        <v>74</v>
      </c>
      <c r="I200" t="s">
        <v>6999</v>
      </c>
      <c r="J200" t="s">
        <v>1828</v>
      </c>
      <c r="K200" t="s">
        <v>74</v>
      </c>
      <c r="L200" t="s">
        <v>74</v>
      </c>
      <c r="M200" t="s">
        <v>74</v>
      </c>
      <c r="N200" t="s">
        <v>78</v>
      </c>
      <c r="O200" t="s">
        <v>74</v>
      </c>
      <c r="P200" t="s">
        <v>74</v>
      </c>
      <c r="Q200" t="s">
        <v>74</v>
      </c>
      <c r="R200" t="s">
        <v>74</v>
      </c>
      <c r="S200" t="s">
        <v>74</v>
      </c>
      <c r="T200" t="s">
        <v>74</v>
      </c>
      <c r="U200" t="s">
        <v>7000</v>
      </c>
      <c r="V200" t="s">
        <v>7001</v>
      </c>
      <c r="W200" t="s">
        <v>7002</v>
      </c>
      <c r="X200" t="s">
        <v>7003</v>
      </c>
      <c r="Y200" t="s">
        <v>7004</v>
      </c>
      <c r="Z200" t="s">
        <v>7005</v>
      </c>
      <c r="AA200" t="s">
        <v>74</v>
      </c>
      <c r="AB200" t="s">
        <v>74</v>
      </c>
      <c r="AC200" t="s">
        <v>74</v>
      </c>
      <c r="AD200" t="s">
        <v>74</v>
      </c>
      <c r="AE200" t="s">
        <v>74</v>
      </c>
      <c r="AF200" t="s">
        <v>74</v>
      </c>
      <c r="AG200">
        <v>66</v>
      </c>
      <c r="AH200">
        <v>34</v>
      </c>
      <c r="AI200">
        <v>34</v>
      </c>
      <c r="AJ200">
        <v>4</v>
      </c>
      <c r="AK200">
        <v>35</v>
      </c>
      <c r="AL200" t="s">
        <v>74</v>
      </c>
      <c r="AM200" t="s">
        <v>74</v>
      </c>
      <c r="AN200" t="s">
        <v>74</v>
      </c>
      <c r="AO200" t="s">
        <v>1837</v>
      </c>
      <c r="AP200" t="s">
        <v>74</v>
      </c>
      <c r="AQ200" t="s">
        <v>74</v>
      </c>
      <c r="AR200" t="s">
        <v>74</v>
      </c>
      <c r="AS200" t="s">
        <v>74</v>
      </c>
      <c r="AT200" t="s">
        <v>7006</v>
      </c>
      <c r="AU200">
        <v>2018</v>
      </c>
      <c r="AV200">
        <v>8</v>
      </c>
      <c r="AW200" t="s">
        <v>74</v>
      </c>
      <c r="AX200" t="s">
        <v>74</v>
      </c>
      <c r="AY200" t="s">
        <v>74</v>
      </c>
      <c r="AZ200" t="s">
        <v>74</v>
      </c>
      <c r="BA200" t="s">
        <v>74</v>
      </c>
      <c r="BB200" t="s">
        <v>74</v>
      </c>
      <c r="BC200" t="s">
        <v>74</v>
      </c>
      <c r="BD200">
        <v>6751</v>
      </c>
      <c r="BE200" t="s">
        <v>7007</v>
      </c>
      <c r="BF200" t="str">
        <f>HYPERLINK("http://dx.doi.org/10.1038/s41598-018-25026-2","http://dx.doi.org/10.1038/s41598-018-25026-2")</f>
        <v>http://dx.doi.org/10.1038/s41598-018-25026-2</v>
      </c>
      <c r="BG200" t="s">
        <v>74</v>
      </c>
      <c r="BH200" t="s">
        <v>74</v>
      </c>
      <c r="BI200" t="s">
        <v>74</v>
      </c>
      <c r="BJ200" t="s">
        <v>545</v>
      </c>
      <c r="BK200" t="s">
        <v>112</v>
      </c>
      <c r="BL200" t="s">
        <v>546</v>
      </c>
      <c r="BM200" t="s">
        <v>74</v>
      </c>
      <c r="BN200">
        <v>29712935</v>
      </c>
      <c r="BO200" t="s">
        <v>74</v>
      </c>
      <c r="BP200" t="s">
        <v>74</v>
      </c>
      <c r="BQ200" t="s">
        <v>74</v>
      </c>
      <c r="BR200" t="s">
        <v>93</v>
      </c>
      <c r="BS200" t="s">
        <v>7008</v>
      </c>
      <c r="BT200" t="str">
        <f>HYPERLINK("https%3A%2F%2Fwww.webofscience.com%2Fwos%2Fwoscc%2Ffull-record%2FWOS:000431107100010","View Full Record in Web of Science")</f>
        <v>View Full Record in Web of Science</v>
      </c>
    </row>
    <row r="201" spans="1:72" x14ac:dyDescent="0.15">
      <c r="A201" t="s">
        <v>72</v>
      </c>
      <c r="B201" t="s">
        <v>10821</v>
      </c>
      <c r="C201" t="s">
        <v>74</v>
      </c>
      <c r="D201" t="s">
        <v>74</v>
      </c>
      <c r="E201" t="s">
        <v>74</v>
      </c>
      <c r="F201" t="s">
        <v>10822</v>
      </c>
      <c r="G201" t="s">
        <v>74</v>
      </c>
      <c r="H201" t="s">
        <v>74</v>
      </c>
      <c r="I201" t="s">
        <v>10823</v>
      </c>
      <c r="J201" t="s">
        <v>10824</v>
      </c>
      <c r="K201" t="s">
        <v>74</v>
      </c>
      <c r="L201" t="s">
        <v>74</v>
      </c>
      <c r="M201" t="s">
        <v>74</v>
      </c>
      <c r="N201" t="s">
        <v>78</v>
      </c>
      <c r="O201" t="s">
        <v>74</v>
      </c>
      <c r="P201" t="s">
        <v>74</v>
      </c>
      <c r="Q201" t="s">
        <v>74</v>
      </c>
      <c r="R201" t="s">
        <v>74</v>
      </c>
      <c r="S201" t="s">
        <v>74</v>
      </c>
      <c r="T201" t="s">
        <v>10825</v>
      </c>
      <c r="U201" t="s">
        <v>10826</v>
      </c>
      <c r="V201" t="s">
        <v>10827</v>
      </c>
      <c r="W201" t="s">
        <v>10828</v>
      </c>
      <c r="X201" t="s">
        <v>10829</v>
      </c>
      <c r="Y201" t="s">
        <v>10830</v>
      </c>
      <c r="Z201" t="s">
        <v>10831</v>
      </c>
      <c r="AA201" t="s">
        <v>10832</v>
      </c>
      <c r="AB201" t="s">
        <v>10833</v>
      </c>
      <c r="AC201" t="s">
        <v>74</v>
      </c>
      <c r="AD201" t="s">
        <v>74</v>
      </c>
      <c r="AE201" t="s">
        <v>74</v>
      </c>
      <c r="AF201" t="s">
        <v>74</v>
      </c>
      <c r="AG201">
        <v>55</v>
      </c>
      <c r="AH201">
        <v>34</v>
      </c>
      <c r="AI201">
        <v>38</v>
      </c>
      <c r="AJ201">
        <v>3</v>
      </c>
      <c r="AK201">
        <v>23</v>
      </c>
      <c r="AL201" t="s">
        <v>74</v>
      </c>
      <c r="AM201" t="s">
        <v>74</v>
      </c>
      <c r="AN201" t="s">
        <v>74</v>
      </c>
      <c r="AO201" t="s">
        <v>10834</v>
      </c>
      <c r="AP201" t="s">
        <v>10835</v>
      </c>
      <c r="AQ201" t="s">
        <v>74</v>
      </c>
      <c r="AR201" t="s">
        <v>74</v>
      </c>
      <c r="AS201" t="s">
        <v>74</v>
      </c>
      <c r="AT201" t="s">
        <v>88</v>
      </c>
      <c r="AU201">
        <v>2010</v>
      </c>
      <c r="AV201">
        <v>232</v>
      </c>
      <c r="AW201">
        <v>1</v>
      </c>
      <c r="AX201" t="s">
        <v>74</v>
      </c>
      <c r="AY201" t="s">
        <v>74</v>
      </c>
      <c r="AZ201" t="s">
        <v>74</v>
      </c>
      <c r="BA201" t="s">
        <v>74</v>
      </c>
      <c r="BB201">
        <v>187</v>
      </c>
      <c r="BC201">
        <v>195</v>
      </c>
      <c r="BD201" t="s">
        <v>74</v>
      </c>
      <c r="BE201" t="s">
        <v>10836</v>
      </c>
      <c r="BF201" t="str">
        <f>HYPERLINK("http://dx.doi.org/10.1007/s00425-010-1160-7","http://dx.doi.org/10.1007/s00425-010-1160-7")</f>
        <v>http://dx.doi.org/10.1007/s00425-010-1160-7</v>
      </c>
      <c r="BG201" t="s">
        <v>74</v>
      </c>
      <c r="BH201" t="s">
        <v>74</v>
      </c>
      <c r="BI201" t="s">
        <v>74</v>
      </c>
      <c r="BJ201" t="s">
        <v>10837</v>
      </c>
      <c r="BK201" t="s">
        <v>112</v>
      </c>
      <c r="BL201" t="s">
        <v>10837</v>
      </c>
      <c r="BM201" t="s">
        <v>74</v>
      </c>
      <c r="BN201">
        <v>20390294</v>
      </c>
      <c r="BO201" t="s">
        <v>74</v>
      </c>
      <c r="BP201" t="s">
        <v>74</v>
      </c>
      <c r="BQ201" t="s">
        <v>74</v>
      </c>
      <c r="BR201" t="s">
        <v>93</v>
      </c>
      <c r="BS201" t="s">
        <v>10838</v>
      </c>
      <c r="BT201" t="str">
        <f>HYPERLINK("https%3A%2F%2Fwww.webofscience.com%2Fwos%2Fwoscc%2Ffull-record%2FWOS:000277792700016","View Full Record in Web of Science")</f>
        <v>View Full Record in Web of Science</v>
      </c>
    </row>
    <row r="202" spans="1:72" x14ac:dyDescent="0.15">
      <c r="A202" t="s">
        <v>72</v>
      </c>
      <c r="B202" t="s">
        <v>773</v>
      </c>
      <c r="C202" t="s">
        <v>74</v>
      </c>
      <c r="D202" t="s">
        <v>74</v>
      </c>
      <c r="E202" t="s">
        <v>74</v>
      </c>
      <c r="F202" t="s">
        <v>774</v>
      </c>
      <c r="G202" t="s">
        <v>74</v>
      </c>
      <c r="H202" t="s">
        <v>74</v>
      </c>
      <c r="I202" t="s">
        <v>775</v>
      </c>
      <c r="J202" t="s">
        <v>426</v>
      </c>
      <c r="K202" t="s">
        <v>74</v>
      </c>
      <c r="L202" t="s">
        <v>74</v>
      </c>
      <c r="M202" t="s">
        <v>74</v>
      </c>
      <c r="N202" t="s">
        <v>78</v>
      </c>
      <c r="O202" t="s">
        <v>74</v>
      </c>
      <c r="P202" t="s">
        <v>74</v>
      </c>
      <c r="Q202" t="s">
        <v>74</v>
      </c>
      <c r="R202" t="s">
        <v>74</v>
      </c>
      <c r="S202" t="s">
        <v>74</v>
      </c>
      <c r="T202" t="s">
        <v>776</v>
      </c>
      <c r="U202" t="s">
        <v>777</v>
      </c>
      <c r="V202" t="s">
        <v>778</v>
      </c>
      <c r="W202" t="s">
        <v>779</v>
      </c>
      <c r="X202" t="s">
        <v>780</v>
      </c>
      <c r="Y202" t="s">
        <v>781</v>
      </c>
      <c r="Z202" t="s">
        <v>782</v>
      </c>
      <c r="AA202" t="s">
        <v>74</v>
      </c>
      <c r="AB202" t="s">
        <v>783</v>
      </c>
      <c r="AC202" t="s">
        <v>74</v>
      </c>
      <c r="AD202" t="s">
        <v>74</v>
      </c>
      <c r="AE202" t="s">
        <v>74</v>
      </c>
      <c r="AF202" t="s">
        <v>74</v>
      </c>
      <c r="AG202">
        <v>28</v>
      </c>
      <c r="AH202">
        <v>33</v>
      </c>
      <c r="AI202">
        <v>33</v>
      </c>
      <c r="AJ202">
        <v>5</v>
      </c>
      <c r="AK202">
        <v>24</v>
      </c>
      <c r="AL202" t="s">
        <v>74</v>
      </c>
      <c r="AM202" t="s">
        <v>74</v>
      </c>
      <c r="AN202" t="s">
        <v>74</v>
      </c>
      <c r="AO202" t="s">
        <v>435</v>
      </c>
      <c r="AP202" t="s">
        <v>436</v>
      </c>
      <c r="AQ202" t="s">
        <v>74</v>
      </c>
      <c r="AR202" t="s">
        <v>74</v>
      </c>
      <c r="AS202" t="s">
        <v>74</v>
      </c>
      <c r="AT202" t="s">
        <v>236</v>
      </c>
      <c r="AU202">
        <v>2019</v>
      </c>
      <c r="AV202">
        <v>79</v>
      </c>
      <c r="AW202">
        <v>15</v>
      </c>
      <c r="AX202" t="s">
        <v>74</v>
      </c>
      <c r="AY202" t="s">
        <v>74</v>
      </c>
      <c r="AZ202" t="s">
        <v>74</v>
      </c>
      <c r="BA202" t="s">
        <v>74</v>
      </c>
      <c r="BB202">
        <v>1767</v>
      </c>
      <c r="BC202">
        <v>1776</v>
      </c>
      <c r="BD202" t="s">
        <v>74</v>
      </c>
      <c r="BE202" t="s">
        <v>784</v>
      </c>
      <c r="BF202" t="str">
        <f>HYPERLINK("http://dx.doi.org/10.1002/pros.23901","http://dx.doi.org/10.1002/pros.23901")</f>
        <v>http://dx.doi.org/10.1002/pros.23901</v>
      </c>
      <c r="BG202" t="s">
        <v>74</v>
      </c>
      <c r="BH202" t="s">
        <v>785</v>
      </c>
      <c r="BI202" t="s">
        <v>74</v>
      </c>
      <c r="BJ202" t="s">
        <v>439</v>
      </c>
      <c r="BK202" t="s">
        <v>112</v>
      </c>
      <c r="BL202" t="s">
        <v>439</v>
      </c>
      <c r="BM202" t="s">
        <v>74</v>
      </c>
      <c r="BN202">
        <v>31475741</v>
      </c>
      <c r="BO202" t="s">
        <v>74</v>
      </c>
      <c r="BP202" t="s">
        <v>74</v>
      </c>
      <c r="BQ202" t="s">
        <v>74</v>
      </c>
      <c r="BR202" t="s">
        <v>93</v>
      </c>
      <c r="BS202" t="s">
        <v>786</v>
      </c>
      <c r="BT202" t="str">
        <f>HYPERLINK("https%3A%2F%2Fwww.webofscience.com%2Fwos%2Fwoscc%2Ffull-record%2FWOS:000484689500001","View Full Record in Web of Science")</f>
        <v>View Full Record in Web of Science</v>
      </c>
    </row>
    <row r="203" spans="1:72" x14ac:dyDescent="0.15">
      <c r="A203" t="s">
        <v>72</v>
      </c>
      <c r="B203" t="s">
        <v>9912</v>
      </c>
      <c r="C203" t="s">
        <v>74</v>
      </c>
      <c r="D203" t="s">
        <v>74</v>
      </c>
      <c r="E203" t="s">
        <v>74</v>
      </c>
      <c r="F203" t="s">
        <v>9913</v>
      </c>
      <c r="G203" t="s">
        <v>74</v>
      </c>
      <c r="H203" t="s">
        <v>74</v>
      </c>
      <c r="I203" t="s">
        <v>9914</v>
      </c>
      <c r="J203" t="s">
        <v>9196</v>
      </c>
      <c r="K203" t="s">
        <v>74</v>
      </c>
      <c r="L203" t="s">
        <v>74</v>
      </c>
      <c r="M203" t="s">
        <v>74</v>
      </c>
      <c r="N203" t="s">
        <v>78</v>
      </c>
      <c r="O203" t="s">
        <v>74</v>
      </c>
      <c r="P203" t="s">
        <v>74</v>
      </c>
      <c r="Q203" t="s">
        <v>74</v>
      </c>
      <c r="R203" t="s">
        <v>74</v>
      </c>
      <c r="S203" t="s">
        <v>74</v>
      </c>
      <c r="T203" t="s">
        <v>74</v>
      </c>
      <c r="U203" t="s">
        <v>9915</v>
      </c>
      <c r="V203" t="s">
        <v>9916</v>
      </c>
      <c r="W203" t="s">
        <v>9917</v>
      </c>
      <c r="X203" t="s">
        <v>9918</v>
      </c>
      <c r="Y203" t="s">
        <v>9919</v>
      </c>
      <c r="Z203" t="s">
        <v>9920</v>
      </c>
      <c r="AA203" t="s">
        <v>74</v>
      </c>
      <c r="AB203" t="s">
        <v>9921</v>
      </c>
      <c r="AC203" t="s">
        <v>74</v>
      </c>
      <c r="AD203" t="s">
        <v>74</v>
      </c>
      <c r="AE203" t="s">
        <v>74</v>
      </c>
      <c r="AF203" t="s">
        <v>74</v>
      </c>
      <c r="AG203">
        <v>110</v>
      </c>
      <c r="AH203">
        <v>33</v>
      </c>
      <c r="AI203">
        <v>33</v>
      </c>
      <c r="AJ203">
        <v>5</v>
      </c>
      <c r="AK203">
        <v>15</v>
      </c>
      <c r="AL203" t="s">
        <v>74</v>
      </c>
      <c r="AM203" t="s">
        <v>74</v>
      </c>
      <c r="AN203" t="s">
        <v>74</v>
      </c>
      <c r="AO203" t="s">
        <v>9204</v>
      </c>
      <c r="AP203" t="s">
        <v>9205</v>
      </c>
      <c r="AQ203" t="s">
        <v>74</v>
      </c>
      <c r="AR203" t="s">
        <v>74</v>
      </c>
      <c r="AS203" t="s">
        <v>74</v>
      </c>
      <c r="AT203" t="s">
        <v>236</v>
      </c>
      <c r="AU203">
        <v>2020</v>
      </c>
      <c r="AV203">
        <v>69</v>
      </c>
      <c r="AW203">
        <v>11</v>
      </c>
      <c r="AX203" t="s">
        <v>74</v>
      </c>
      <c r="AY203" t="s">
        <v>74</v>
      </c>
      <c r="AZ203" t="s">
        <v>74</v>
      </c>
      <c r="BA203" t="s">
        <v>74</v>
      </c>
      <c r="BB203">
        <v>2025</v>
      </c>
      <c r="BC203">
        <v>2034</v>
      </c>
      <c r="BD203" t="s">
        <v>74</v>
      </c>
      <c r="BE203" t="s">
        <v>9922</v>
      </c>
      <c r="BF203" t="str">
        <f>HYPERLINK("http://dx.doi.org/10.1136/gutjnl-2019-320282","http://dx.doi.org/10.1136/gutjnl-2019-320282")</f>
        <v>http://dx.doi.org/10.1136/gutjnl-2019-320282</v>
      </c>
      <c r="BG203" t="s">
        <v>74</v>
      </c>
      <c r="BH203" t="s">
        <v>74</v>
      </c>
      <c r="BI203" t="s">
        <v>74</v>
      </c>
      <c r="BJ203" t="s">
        <v>5475</v>
      </c>
      <c r="BK203" t="s">
        <v>112</v>
      </c>
      <c r="BL203" t="s">
        <v>5475</v>
      </c>
      <c r="BM203" t="s">
        <v>74</v>
      </c>
      <c r="BN203">
        <v>32883873</v>
      </c>
      <c r="BO203" t="s">
        <v>74</v>
      </c>
      <c r="BP203" t="s">
        <v>74</v>
      </c>
      <c r="BQ203" t="s">
        <v>74</v>
      </c>
      <c r="BR203" t="s">
        <v>93</v>
      </c>
      <c r="BS203" t="s">
        <v>9923</v>
      </c>
      <c r="BT203" t="str">
        <f>HYPERLINK("https%3A%2F%2Fwww.webofscience.com%2Fwos%2Fwoscc%2Ffull-record%2FWOS:000582822600017","View Full Record in Web of Science")</f>
        <v>View Full Record in Web of Science</v>
      </c>
    </row>
    <row r="204" spans="1:72" x14ac:dyDescent="0.15">
      <c r="A204" t="s">
        <v>72</v>
      </c>
      <c r="B204" t="s">
        <v>10880</v>
      </c>
      <c r="C204" t="s">
        <v>74</v>
      </c>
      <c r="D204" t="s">
        <v>74</v>
      </c>
      <c r="E204" t="s">
        <v>74</v>
      </c>
      <c r="F204" t="s">
        <v>10881</v>
      </c>
      <c r="G204" t="s">
        <v>74</v>
      </c>
      <c r="H204" t="s">
        <v>74</v>
      </c>
      <c r="I204" t="s">
        <v>10882</v>
      </c>
      <c r="J204" t="s">
        <v>10883</v>
      </c>
      <c r="K204" t="s">
        <v>74</v>
      </c>
      <c r="L204" t="s">
        <v>74</v>
      </c>
      <c r="M204" t="s">
        <v>74</v>
      </c>
      <c r="N204" t="s">
        <v>78</v>
      </c>
      <c r="O204" t="s">
        <v>74</v>
      </c>
      <c r="P204" t="s">
        <v>74</v>
      </c>
      <c r="Q204" t="s">
        <v>74</v>
      </c>
      <c r="R204" t="s">
        <v>74</v>
      </c>
      <c r="S204" t="s">
        <v>74</v>
      </c>
      <c r="T204" t="s">
        <v>74</v>
      </c>
      <c r="U204" t="s">
        <v>10884</v>
      </c>
      <c r="V204" t="s">
        <v>10885</v>
      </c>
      <c r="W204" t="s">
        <v>10886</v>
      </c>
      <c r="X204" t="s">
        <v>5144</v>
      </c>
      <c r="Y204" t="s">
        <v>10887</v>
      </c>
      <c r="Z204" t="s">
        <v>10888</v>
      </c>
      <c r="AA204" t="s">
        <v>10889</v>
      </c>
      <c r="AB204" t="s">
        <v>10890</v>
      </c>
      <c r="AC204" t="s">
        <v>74</v>
      </c>
      <c r="AD204" t="s">
        <v>74</v>
      </c>
      <c r="AE204" t="s">
        <v>74</v>
      </c>
      <c r="AF204" t="s">
        <v>74</v>
      </c>
      <c r="AG204">
        <v>212</v>
      </c>
      <c r="AH204">
        <v>33</v>
      </c>
      <c r="AI204">
        <v>33</v>
      </c>
      <c r="AJ204">
        <v>0</v>
      </c>
      <c r="AK204">
        <v>54</v>
      </c>
      <c r="AL204" t="s">
        <v>74</v>
      </c>
      <c r="AM204" t="s">
        <v>74</v>
      </c>
      <c r="AN204" t="s">
        <v>74</v>
      </c>
      <c r="AO204" t="s">
        <v>10891</v>
      </c>
      <c r="AP204" t="s">
        <v>10892</v>
      </c>
      <c r="AQ204" t="s">
        <v>74</v>
      </c>
      <c r="AR204" t="s">
        <v>74</v>
      </c>
      <c r="AS204" t="s">
        <v>74</v>
      </c>
      <c r="AT204" t="s">
        <v>640</v>
      </c>
      <c r="AU204">
        <v>2016</v>
      </c>
      <c r="AV204">
        <v>43</v>
      </c>
      <c r="AW204">
        <v>1</v>
      </c>
      <c r="AX204" t="s">
        <v>74</v>
      </c>
      <c r="AY204" t="s">
        <v>74</v>
      </c>
      <c r="AZ204" t="s">
        <v>74</v>
      </c>
      <c r="BA204" t="s">
        <v>74</v>
      </c>
      <c r="BB204">
        <v>17</v>
      </c>
      <c r="BC204" t="s">
        <v>109</v>
      </c>
      <c r="BD204" t="s">
        <v>74</v>
      </c>
      <c r="BE204" t="s">
        <v>10893</v>
      </c>
      <c r="BF204" t="str">
        <f>HYPERLINK("http://dx.doi.org/10.1016/j.ucl.2015.08.003","http://dx.doi.org/10.1016/j.ucl.2015.08.003")</f>
        <v>http://dx.doi.org/10.1016/j.ucl.2015.08.003</v>
      </c>
      <c r="BG204" t="s">
        <v>74</v>
      </c>
      <c r="BH204" t="s">
        <v>74</v>
      </c>
      <c r="BI204" t="s">
        <v>74</v>
      </c>
      <c r="BJ204" t="s">
        <v>1293</v>
      </c>
      <c r="BK204" t="s">
        <v>112</v>
      </c>
      <c r="BL204" t="s">
        <v>1293</v>
      </c>
      <c r="BM204" t="s">
        <v>74</v>
      </c>
      <c r="BN204">
        <v>26614026</v>
      </c>
      <c r="BO204" t="s">
        <v>74</v>
      </c>
      <c r="BP204" t="s">
        <v>74</v>
      </c>
      <c r="BQ204" t="s">
        <v>74</v>
      </c>
      <c r="BR204" t="s">
        <v>93</v>
      </c>
      <c r="BS204" t="s">
        <v>10894</v>
      </c>
      <c r="BT204" t="str">
        <f>HYPERLINK("https%3A%2F%2Fwww.webofscience.com%2Fwos%2Fwoscc%2Ffull-record%2FWOS:000366960600005","View Full Record in Web of Science")</f>
        <v>View Full Record in Web of Science</v>
      </c>
    </row>
    <row r="205" spans="1:72" x14ac:dyDescent="0.15">
      <c r="A205" t="s">
        <v>72</v>
      </c>
      <c r="B205" t="s">
        <v>2802</v>
      </c>
      <c r="C205" t="s">
        <v>74</v>
      </c>
      <c r="D205" t="s">
        <v>74</v>
      </c>
      <c r="E205" t="s">
        <v>74</v>
      </c>
      <c r="F205" t="s">
        <v>2803</v>
      </c>
      <c r="G205" t="s">
        <v>74</v>
      </c>
      <c r="H205" t="s">
        <v>74</v>
      </c>
      <c r="I205" t="s">
        <v>2804</v>
      </c>
      <c r="J205" t="s">
        <v>1137</v>
      </c>
      <c r="K205" t="s">
        <v>74</v>
      </c>
      <c r="L205" t="s">
        <v>74</v>
      </c>
      <c r="M205" t="s">
        <v>74</v>
      </c>
      <c r="N205" t="s">
        <v>78</v>
      </c>
      <c r="O205" t="s">
        <v>74</v>
      </c>
      <c r="P205" t="s">
        <v>74</v>
      </c>
      <c r="Q205" t="s">
        <v>74</v>
      </c>
      <c r="R205" t="s">
        <v>74</v>
      </c>
      <c r="S205" t="s">
        <v>74</v>
      </c>
      <c r="T205" t="s">
        <v>2805</v>
      </c>
      <c r="U205" t="s">
        <v>2806</v>
      </c>
      <c r="V205" t="s">
        <v>2807</v>
      </c>
      <c r="W205" t="s">
        <v>2808</v>
      </c>
      <c r="X205" t="s">
        <v>2809</v>
      </c>
      <c r="Y205" t="s">
        <v>2810</v>
      </c>
      <c r="Z205" t="s">
        <v>2811</v>
      </c>
      <c r="AA205" t="s">
        <v>2812</v>
      </c>
      <c r="AB205" t="s">
        <v>2813</v>
      </c>
      <c r="AC205" t="s">
        <v>74</v>
      </c>
      <c r="AD205" t="s">
        <v>74</v>
      </c>
      <c r="AE205" t="s">
        <v>74</v>
      </c>
      <c r="AF205" t="s">
        <v>74</v>
      </c>
      <c r="AG205">
        <v>51</v>
      </c>
      <c r="AH205">
        <v>32</v>
      </c>
      <c r="AI205">
        <v>32</v>
      </c>
      <c r="AJ205">
        <v>17</v>
      </c>
      <c r="AK205">
        <v>159</v>
      </c>
      <c r="AL205" t="s">
        <v>74</v>
      </c>
      <c r="AM205" t="s">
        <v>74</v>
      </c>
      <c r="AN205" t="s">
        <v>74</v>
      </c>
      <c r="AO205" t="s">
        <v>1147</v>
      </c>
      <c r="AP205" t="s">
        <v>74</v>
      </c>
      <c r="AQ205" t="s">
        <v>74</v>
      </c>
      <c r="AR205" t="s">
        <v>74</v>
      </c>
      <c r="AS205" t="s">
        <v>74</v>
      </c>
      <c r="AT205" t="s">
        <v>2814</v>
      </c>
      <c r="AU205">
        <v>2020</v>
      </c>
      <c r="AV205">
        <v>5</v>
      </c>
      <c r="AW205">
        <v>3</v>
      </c>
      <c r="AX205" t="s">
        <v>74</v>
      </c>
      <c r="AY205" t="s">
        <v>74</v>
      </c>
      <c r="AZ205" t="s">
        <v>74</v>
      </c>
      <c r="BA205" t="s">
        <v>74</v>
      </c>
      <c r="BB205">
        <v>764</v>
      </c>
      <c r="BC205">
        <v>771</v>
      </c>
      <c r="BD205" t="s">
        <v>74</v>
      </c>
      <c r="BE205" t="s">
        <v>2815</v>
      </c>
      <c r="BF205" t="str">
        <f>HYPERLINK("http://dx.doi.org/10.1021/acssensors.9b02377","http://dx.doi.org/10.1021/acssensors.9b02377")</f>
        <v>http://dx.doi.org/10.1021/acssensors.9b02377</v>
      </c>
      <c r="BG205" t="s">
        <v>74</v>
      </c>
      <c r="BH205" t="s">
        <v>74</v>
      </c>
      <c r="BI205" t="s">
        <v>74</v>
      </c>
      <c r="BJ205" t="s">
        <v>1149</v>
      </c>
      <c r="BK205" t="s">
        <v>112</v>
      </c>
      <c r="BL205" t="s">
        <v>1150</v>
      </c>
      <c r="BM205" t="s">
        <v>74</v>
      </c>
      <c r="BN205">
        <v>32134252</v>
      </c>
      <c r="BO205" t="s">
        <v>74</v>
      </c>
      <c r="BP205" t="s">
        <v>74</v>
      </c>
      <c r="BQ205" t="s">
        <v>74</v>
      </c>
      <c r="BR205" t="s">
        <v>93</v>
      </c>
      <c r="BS205" t="s">
        <v>2816</v>
      </c>
      <c r="BT205" t="str">
        <f>HYPERLINK("https%3A%2F%2Fwww.webofscience.com%2Fwos%2Fwoscc%2Ffull-record%2FWOS:000526377600019","View Full Record in Web of Science")</f>
        <v>View Full Record in Web of Science</v>
      </c>
    </row>
    <row r="206" spans="1:72" x14ac:dyDescent="0.15">
      <c r="A206" t="s">
        <v>72</v>
      </c>
      <c r="B206" t="s">
        <v>3779</v>
      </c>
      <c r="C206" t="s">
        <v>74</v>
      </c>
      <c r="D206" t="s">
        <v>74</v>
      </c>
      <c r="E206" t="s">
        <v>74</v>
      </c>
      <c r="F206" t="s">
        <v>3780</v>
      </c>
      <c r="G206" t="s">
        <v>74</v>
      </c>
      <c r="H206" t="s">
        <v>74</v>
      </c>
      <c r="I206" t="s">
        <v>3781</v>
      </c>
      <c r="J206" t="s">
        <v>3782</v>
      </c>
      <c r="K206" t="s">
        <v>74</v>
      </c>
      <c r="L206" t="s">
        <v>74</v>
      </c>
      <c r="M206" t="s">
        <v>74</v>
      </c>
      <c r="N206" t="s">
        <v>78</v>
      </c>
      <c r="O206" t="s">
        <v>74</v>
      </c>
      <c r="P206" t="s">
        <v>74</v>
      </c>
      <c r="Q206" t="s">
        <v>74</v>
      </c>
      <c r="R206" t="s">
        <v>74</v>
      </c>
      <c r="S206" t="s">
        <v>74</v>
      </c>
      <c r="T206" t="s">
        <v>3783</v>
      </c>
      <c r="U206" t="s">
        <v>3784</v>
      </c>
      <c r="V206" t="s">
        <v>3785</v>
      </c>
      <c r="W206" t="s">
        <v>3786</v>
      </c>
      <c r="X206" t="s">
        <v>3787</v>
      </c>
      <c r="Y206" t="s">
        <v>3788</v>
      </c>
      <c r="Z206" t="s">
        <v>3789</v>
      </c>
      <c r="AA206" t="s">
        <v>74</v>
      </c>
      <c r="AB206" t="s">
        <v>74</v>
      </c>
      <c r="AC206" t="s">
        <v>74</v>
      </c>
      <c r="AD206" t="s">
        <v>74</v>
      </c>
      <c r="AE206" t="s">
        <v>74</v>
      </c>
      <c r="AF206" t="s">
        <v>74</v>
      </c>
      <c r="AG206">
        <v>58</v>
      </c>
      <c r="AH206">
        <v>32</v>
      </c>
      <c r="AI206">
        <v>32</v>
      </c>
      <c r="AJ206">
        <v>3</v>
      </c>
      <c r="AK206">
        <v>10</v>
      </c>
      <c r="AL206" t="s">
        <v>74</v>
      </c>
      <c r="AM206" t="s">
        <v>74</v>
      </c>
      <c r="AN206" t="s">
        <v>74</v>
      </c>
      <c r="AO206" t="s">
        <v>3790</v>
      </c>
      <c r="AP206" t="s">
        <v>3791</v>
      </c>
      <c r="AQ206" t="s">
        <v>74</v>
      </c>
      <c r="AR206" t="s">
        <v>74</v>
      </c>
      <c r="AS206" t="s">
        <v>74</v>
      </c>
      <c r="AT206" t="s">
        <v>171</v>
      </c>
      <c r="AU206">
        <v>2017</v>
      </c>
      <c r="AV206">
        <v>18</v>
      </c>
      <c r="AW206">
        <v>12</v>
      </c>
      <c r="AX206" t="s">
        <v>74</v>
      </c>
      <c r="AY206" t="s">
        <v>74</v>
      </c>
      <c r="AZ206" t="s">
        <v>74</v>
      </c>
      <c r="BA206" t="s">
        <v>74</v>
      </c>
      <c r="BB206" t="s">
        <v>74</v>
      </c>
      <c r="BC206" t="s">
        <v>74</v>
      </c>
      <c r="BD206">
        <v>100</v>
      </c>
      <c r="BE206" t="s">
        <v>3792</v>
      </c>
      <c r="BF206" t="str">
        <f>HYPERLINK("http://dx.doi.org/10.1007/s11934-017-0748-x","http://dx.doi.org/10.1007/s11934-017-0748-x")</f>
        <v>http://dx.doi.org/10.1007/s11934-017-0748-x</v>
      </c>
      <c r="BG206" t="s">
        <v>74</v>
      </c>
      <c r="BH206" t="s">
        <v>74</v>
      </c>
      <c r="BI206" t="s">
        <v>74</v>
      </c>
      <c r="BJ206" t="s">
        <v>1293</v>
      </c>
      <c r="BK206" t="s">
        <v>112</v>
      </c>
      <c r="BL206" t="s">
        <v>1293</v>
      </c>
      <c r="BM206" t="s">
        <v>74</v>
      </c>
      <c r="BN206">
        <v>29130146</v>
      </c>
      <c r="BO206" t="s">
        <v>74</v>
      </c>
      <c r="BP206" t="s">
        <v>74</v>
      </c>
      <c r="BQ206" t="s">
        <v>74</v>
      </c>
      <c r="BR206" t="s">
        <v>93</v>
      </c>
      <c r="BS206" t="s">
        <v>3793</v>
      </c>
      <c r="BT206" t="str">
        <f>HYPERLINK("https%3A%2F%2Fwww.webofscience.com%2Fwos%2Fwoscc%2Ffull-record%2FWOS:000422920300002","View Full Record in Web of Science")</f>
        <v>View Full Record in Web of Science</v>
      </c>
    </row>
    <row r="207" spans="1:72" x14ac:dyDescent="0.15">
      <c r="A207" t="s">
        <v>72</v>
      </c>
      <c r="B207" t="s">
        <v>4879</v>
      </c>
      <c r="C207" t="s">
        <v>74</v>
      </c>
      <c r="D207" t="s">
        <v>74</v>
      </c>
      <c r="E207" t="s">
        <v>74</v>
      </c>
      <c r="F207" t="s">
        <v>4880</v>
      </c>
      <c r="G207" t="s">
        <v>74</v>
      </c>
      <c r="H207" t="s">
        <v>74</v>
      </c>
      <c r="I207" t="s">
        <v>4881</v>
      </c>
      <c r="J207" t="s">
        <v>4882</v>
      </c>
      <c r="K207" t="s">
        <v>74</v>
      </c>
      <c r="L207" t="s">
        <v>74</v>
      </c>
      <c r="M207" t="s">
        <v>74</v>
      </c>
      <c r="N207" t="s">
        <v>78</v>
      </c>
      <c r="O207" t="s">
        <v>74</v>
      </c>
      <c r="P207" t="s">
        <v>74</v>
      </c>
      <c r="Q207" t="s">
        <v>74</v>
      </c>
      <c r="R207" t="s">
        <v>74</v>
      </c>
      <c r="S207" t="s">
        <v>74</v>
      </c>
      <c r="T207" t="s">
        <v>4883</v>
      </c>
      <c r="U207" t="s">
        <v>4884</v>
      </c>
      <c r="V207" t="s">
        <v>4885</v>
      </c>
      <c r="W207" t="s">
        <v>4886</v>
      </c>
      <c r="X207" t="s">
        <v>4887</v>
      </c>
      <c r="Y207" t="s">
        <v>4888</v>
      </c>
      <c r="Z207" t="s">
        <v>4889</v>
      </c>
      <c r="AA207" t="s">
        <v>74</v>
      </c>
      <c r="AB207" t="s">
        <v>74</v>
      </c>
      <c r="AC207" t="s">
        <v>74</v>
      </c>
      <c r="AD207" t="s">
        <v>74</v>
      </c>
      <c r="AE207" t="s">
        <v>74</v>
      </c>
      <c r="AF207" t="s">
        <v>74</v>
      </c>
      <c r="AG207">
        <v>47</v>
      </c>
      <c r="AH207">
        <v>32</v>
      </c>
      <c r="AI207">
        <v>35</v>
      </c>
      <c r="AJ207">
        <v>11</v>
      </c>
      <c r="AK207">
        <v>19</v>
      </c>
      <c r="AL207" t="s">
        <v>74</v>
      </c>
      <c r="AM207" t="s">
        <v>74</v>
      </c>
      <c r="AN207" t="s">
        <v>74</v>
      </c>
      <c r="AO207" t="s">
        <v>4890</v>
      </c>
      <c r="AP207" t="s">
        <v>4891</v>
      </c>
      <c r="AQ207" t="s">
        <v>74</v>
      </c>
      <c r="AR207" t="s">
        <v>74</v>
      </c>
      <c r="AS207" t="s">
        <v>74</v>
      </c>
      <c r="AT207" t="s">
        <v>4892</v>
      </c>
      <c r="AU207">
        <v>2020</v>
      </c>
      <c r="AV207">
        <v>24</v>
      </c>
      <c r="AW207">
        <v>1</v>
      </c>
      <c r="AX207" t="s">
        <v>74</v>
      </c>
      <c r="AY207" t="s">
        <v>74</v>
      </c>
      <c r="AZ207" t="s">
        <v>74</v>
      </c>
      <c r="BA207" t="s">
        <v>74</v>
      </c>
      <c r="BB207" t="s">
        <v>74</v>
      </c>
      <c r="BC207" t="s">
        <v>74</v>
      </c>
      <c r="BD207" t="s">
        <v>74</v>
      </c>
      <c r="BE207" t="s">
        <v>4893</v>
      </c>
      <c r="BF207" t="str">
        <f>HYPERLINK("http://dx.doi.org/10.1186/s13054-020-03082-3","http://dx.doi.org/10.1186/s13054-020-03082-3")</f>
        <v>http://dx.doi.org/10.1186/s13054-020-03082-3</v>
      </c>
      <c r="BG207" t="s">
        <v>74</v>
      </c>
      <c r="BH207" t="s">
        <v>74</v>
      </c>
      <c r="BI207" t="s">
        <v>74</v>
      </c>
      <c r="BJ207" t="s">
        <v>4894</v>
      </c>
      <c r="BK207" t="s">
        <v>112</v>
      </c>
      <c r="BL207" t="s">
        <v>803</v>
      </c>
      <c r="BM207" t="s">
        <v>74</v>
      </c>
      <c r="BN207">
        <v>32600436</v>
      </c>
      <c r="BO207" t="s">
        <v>74</v>
      </c>
      <c r="BP207" t="s">
        <v>74</v>
      </c>
      <c r="BQ207" t="s">
        <v>74</v>
      </c>
      <c r="BR207" t="s">
        <v>93</v>
      </c>
      <c r="BS207" t="s">
        <v>4895</v>
      </c>
      <c r="BT207" t="str">
        <f>HYPERLINK("https%3A%2F%2Fwww.webofscience.com%2Fwos%2Fwoscc%2Ffull-record%2FWOS:000546213800001","View Full Record in Web of Science")</f>
        <v>View Full Record in Web of Science</v>
      </c>
    </row>
    <row r="208" spans="1:72" x14ac:dyDescent="0.15">
      <c r="A208" t="s">
        <v>72</v>
      </c>
      <c r="B208" t="s">
        <v>5685</v>
      </c>
      <c r="C208" t="s">
        <v>74</v>
      </c>
      <c r="D208" t="s">
        <v>74</v>
      </c>
      <c r="E208" t="s">
        <v>74</v>
      </c>
      <c r="F208" t="s">
        <v>5686</v>
      </c>
      <c r="G208" t="s">
        <v>74</v>
      </c>
      <c r="H208" t="s">
        <v>74</v>
      </c>
      <c r="I208" t="s">
        <v>5687</v>
      </c>
      <c r="J208" t="s">
        <v>2154</v>
      </c>
      <c r="K208" t="s">
        <v>74</v>
      </c>
      <c r="L208" t="s">
        <v>74</v>
      </c>
      <c r="M208" t="s">
        <v>74</v>
      </c>
      <c r="N208" t="s">
        <v>78</v>
      </c>
      <c r="O208" t="s">
        <v>74</v>
      </c>
      <c r="P208" t="s">
        <v>74</v>
      </c>
      <c r="Q208" t="s">
        <v>74</v>
      </c>
      <c r="R208" t="s">
        <v>74</v>
      </c>
      <c r="S208" t="s">
        <v>74</v>
      </c>
      <c r="T208" t="s">
        <v>74</v>
      </c>
      <c r="U208" t="s">
        <v>5688</v>
      </c>
      <c r="V208" t="s">
        <v>5689</v>
      </c>
      <c r="W208" t="s">
        <v>5690</v>
      </c>
      <c r="X208" t="s">
        <v>5691</v>
      </c>
      <c r="Y208" t="s">
        <v>5692</v>
      </c>
      <c r="Z208" t="s">
        <v>5693</v>
      </c>
      <c r="AA208" t="s">
        <v>5694</v>
      </c>
      <c r="AB208" t="s">
        <v>5695</v>
      </c>
      <c r="AC208" t="s">
        <v>74</v>
      </c>
      <c r="AD208" t="s">
        <v>74</v>
      </c>
      <c r="AE208" t="s">
        <v>74</v>
      </c>
      <c r="AF208" t="s">
        <v>74</v>
      </c>
      <c r="AG208">
        <v>27</v>
      </c>
      <c r="AH208">
        <v>32</v>
      </c>
      <c r="AI208">
        <v>32</v>
      </c>
      <c r="AJ208">
        <v>53</v>
      </c>
      <c r="AK208">
        <v>208</v>
      </c>
      <c r="AL208" t="s">
        <v>74</v>
      </c>
      <c r="AM208" t="s">
        <v>74</v>
      </c>
      <c r="AN208" t="s">
        <v>74</v>
      </c>
      <c r="AO208" t="s">
        <v>2161</v>
      </c>
      <c r="AP208" t="s">
        <v>2162</v>
      </c>
      <c r="AQ208" t="s">
        <v>74</v>
      </c>
      <c r="AR208" t="s">
        <v>74</v>
      </c>
      <c r="AS208" t="s">
        <v>74</v>
      </c>
      <c r="AT208" t="s">
        <v>5696</v>
      </c>
      <c r="AU208">
        <v>2020</v>
      </c>
      <c r="AV208">
        <v>20</v>
      </c>
      <c r="AW208">
        <v>24</v>
      </c>
      <c r="AX208" t="s">
        <v>74</v>
      </c>
      <c r="AY208" t="s">
        <v>74</v>
      </c>
      <c r="AZ208" t="s">
        <v>74</v>
      </c>
      <c r="BA208" t="s">
        <v>74</v>
      </c>
      <c r="BB208">
        <v>4632</v>
      </c>
      <c r="BC208">
        <v>4637</v>
      </c>
      <c r="BD208" t="s">
        <v>74</v>
      </c>
      <c r="BE208" t="s">
        <v>5697</v>
      </c>
      <c r="BF208" t="str">
        <f>HYPERLINK("http://dx.doi.org/10.1039/d0lc00677g","http://dx.doi.org/10.1039/d0lc00677g")</f>
        <v>http://dx.doi.org/10.1039/d0lc00677g</v>
      </c>
      <c r="BG208" t="s">
        <v>74</v>
      </c>
      <c r="BH208" t="s">
        <v>74</v>
      </c>
      <c r="BI208" t="s">
        <v>74</v>
      </c>
      <c r="BJ208" t="s">
        <v>2164</v>
      </c>
      <c r="BK208" t="s">
        <v>112</v>
      </c>
      <c r="BL208" t="s">
        <v>2165</v>
      </c>
      <c r="BM208" t="s">
        <v>74</v>
      </c>
      <c r="BN208">
        <v>33169756</v>
      </c>
      <c r="BO208" t="s">
        <v>74</v>
      </c>
      <c r="BP208" t="s">
        <v>74</v>
      </c>
      <c r="BQ208" t="s">
        <v>74</v>
      </c>
      <c r="BR208" t="s">
        <v>93</v>
      </c>
      <c r="BS208" t="s">
        <v>5698</v>
      </c>
      <c r="BT208" t="str">
        <f>HYPERLINK("https%3A%2F%2Fwww.webofscience.com%2Fwos%2Fwoscc%2Ffull-record%2FWOS:000599063600012","View Full Record in Web of Science")</f>
        <v>View Full Record in Web of Science</v>
      </c>
    </row>
    <row r="209" spans="1:72" x14ac:dyDescent="0.15">
      <c r="A209" t="s">
        <v>72</v>
      </c>
      <c r="B209" t="s">
        <v>7070</v>
      </c>
      <c r="C209" t="s">
        <v>74</v>
      </c>
      <c r="D209" t="s">
        <v>74</v>
      </c>
      <c r="E209" t="s">
        <v>74</v>
      </c>
      <c r="F209" t="s">
        <v>7071</v>
      </c>
      <c r="G209" t="s">
        <v>74</v>
      </c>
      <c r="H209" t="s">
        <v>74</v>
      </c>
      <c r="I209" t="s">
        <v>7072</v>
      </c>
      <c r="J209" t="s">
        <v>6138</v>
      </c>
      <c r="K209" t="s">
        <v>74</v>
      </c>
      <c r="L209" t="s">
        <v>74</v>
      </c>
      <c r="M209" t="s">
        <v>74</v>
      </c>
      <c r="N209" t="s">
        <v>78</v>
      </c>
      <c r="O209" t="s">
        <v>74</v>
      </c>
      <c r="P209" t="s">
        <v>74</v>
      </c>
      <c r="Q209" t="s">
        <v>74</v>
      </c>
      <c r="R209" t="s">
        <v>74</v>
      </c>
      <c r="S209" t="s">
        <v>74</v>
      </c>
      <c r="T209" t="s">
        <v>7073</v>
      </c>
      <c r="U209" t="s">
        <v>7074</v>
      </c>
      <c r="V209" t="s">
        <v>7075</v>
      </c>
      <c r="W209" t="s">
        <v>7076</v>
      </c>
      <c r="X209" t="s">
        <v>7077</v>
      </c>
      <c r="Y209" t="s">
        <v>7078</v>
      </c>
      <c r="Z209" t="s">
        <v>7079</v>
      </c>
      <c r="AA209" t="s">
        <v>7080</v>
      </c>
      <c r="AB209" t="s">
        <v>7081</v>
      </c>
      <c r="AC209" t="s">
        <v>74</v>
      </c>
      <c r="AD209" t="s">
        <v>74</v>
      </c>
      <c r="AE209" t="s">
        <v>74</v>
      </c>
      <c r="AF209" t="s">
        <v>74</v>
      </c>
      <c r="AG209">
        <v>43</v>
      </c>
      <c r="AH209">
        <v>32</v>
      </c>
      <c r="AI209">
        <v>33</v>
      </c>
      <c r="AJ209">
        <v>4</v>
      </c>
      <c r="AK209">
        <v>19</v>
      </c>
      <c r="AL209" t="s">
        <v>74</v>
      </c>
      <c r="AM209" t="s">
        <v>74</v>
      </c>
      <c r="AN209" t="s">
        <v>74</v>
      </c>
      <c r="AO209" t="s">
        <v>6148</v>
      </c>
      <c r="AP209" t="s">
        <v>6149</v>
      </c>
      <c r="AQ209" t="s">
        <v>74</v>
      </c>
      <c r="AR209" t="s">
        <v>74</v>
      </c>
      <c r="AS209" t="s">
        <v>74</v>
      </c>
      <c r="AT209" t="s">
        <v>578</v>
      </c>
      <c r="AU209">
        <v>2019</v>
      </c>
      <c r="AV209">
        <v>144</v>
      </c>
      <c r="AW209">
        <v>12</v>
      </c>
      <c r="AX209" t="s">
        <v>74</v>
      </c>
      <c r="AY209" t="s">
        <v>74</v>
      </c>
      <c r="AZ209" t="s">
        <v>74</v>
      </c>
      <c r="BA209" t="s">
        <v>74</v>
      </c>
      <c r="BB209">
        <v>3127</v>
      </c>
      <c r="BC209">
        <v>3137</v>
      </c>
      <c r="BD209" t="s">
        <v>74</v>
      </c>
      <c r="BE209" t="s">
        <v>7082</v>
      </c>
      <c r="BF209" t="str">
        <f>HYPERLINK("http://dx.doi.org/10.1002/ijc.32056","http://dx.doi.org/10.1002/ijc.32056")</f>
        <v>http://dx.doi.org/10.1002/ijc.32056</v>
      </c>
      <c r="BG209" t="s">
        <v>74</v>
      </c>
      <c r="BH209" t="s">
        <v>74</v>
      </c>
      <c r="BI209" t="s">
        <v>74</v>
      </c>
      <c r="BJ209" t="s">
        <v>146</v>
      </c>
      <c r="BK209" t="s">
        <v>112</v>
      </c>
      <c r="BL209" t="s">
        <v>146</v>
      </c>
      <c r="BM209" t="s">
        <v>74</v>
      </c>
      <c r="BN209">
        <v>30536653</v>
      </c>
      <c r="BO209" t="s">
        <v>74</v>
      </c>
      <c r="BP209" t="s">
        <v>74</v>
      </c>
      <c r="BQ209" t="s">
        <v>74</v>
      </c>
      <c r="BR209" t="s">
        <v>93</v>
      </c>
      <c r="BS209" t="s">
        <v>7083</v>
      </c>
      <c r="BT209" t="str">
        <f>HYPERLINK("https%3A%2F%2Fwww.webofscience.com%2Fwos%2Fwoscc%2Ffull-record%2FWOS:000466449100022","View Full Record in Web of Science")</f>
        <v>View Full Record in Web of Science</v>
      </c>
    </row>
    <row r="210" spans="1:72" x14ac:dyDescent="0.15">
      <c r="A210" t="s">
        <v>72</v>
      </c>
      <c r="B210" t="s">
        <v>7207</v>
      </c>
      <c r="C210" t="s">
        <v>74</v>
      </c>
      <c r="D210" t="s">
        <v>74</v>
      </c>
      <c r="E210" t="s">
        <v>74</v>
      </c>
      <c r="F210" t="s">
        <v>7208</v>
      </c>
      <c r="G210" t="s">
        <v>74</v>
      </c>
      <c r="H210" t="s">
        <v>74</v>
      </c>
      <c r="I210" t="s">
        <v>7209</v>
      </c>
      <c r="J210" t="s">
        <v>1118</v>
      </c>
      <c r="K210" t="s">
        <v>74</v>
      </c>
      <c r="L210" t="s">
        <v>74</v>
      </c>
      <c r="M210" t="s">
        <v>74</v>
      </c>
      <c r="N210" t="s">
        <v>78</v>
      </c>
      <c r="O210" t="s">
        <v>74</v>
      </c>
      <c r="P210" t="s">
        <v>74</v>
      </c>
      <c r="Q210" t="s">
        <v>74</v>
      </c>
      <c r="R210" t="s">
        <v>74</v>
      </c>
      <c r="S210" t="s">
        <v>74</v>
      </c>
      <c r="T210" t="s">
        <v>7210</v>
      </c>
      <c r="U210" t="s">
        <v>7211</v>
      </c>
      <c r="V210" t="s">
        <v>7212</v>
      </c>
      <c r="W210" t="s">
        <v>7213</v>
      </c>
      <c r="X210" t="s">
        <v>7214</v>
      </c>
      <c r="Y210" t="s">
        <v>7215</v>
      </c>
      <c r="Z210" t="s">
        <v>7216</v>
      </c>
      <c r="AA210" t="s">
        <v>7217</v>
      </c>
      <c r="AB210" t="s">
        <v>7218</v>
      </c>
      <c r="AC210" t="s">
        <v>74</v>
      </c>
      <c r="AD210" t="s">
        <v>74</v>
      </c>
      <c r="AE210" t="s">
        <v>74</v>
      </c>
      <c r="AF210" t="s">
        <v>74</v>
      </c>
      <c r="AG210">
        <v>50</v>
      </c>
      <c r="AH210">
        <v>32</v>
      </c>
      <c r="AI210">
        <v>32</v>
      </c>
      <c r="AJ210">
        <v>0</v>
      </c>
      <c r="AK210">
        <v>8</v>
      </c>
      <c r="AL210" t="s">
        <v>74</v>
      </c>
      <c r="AM210" t="s">
        <v>74</v>
      </c>
      <c r="AN210" t="s">
        <v>74</v>
      </c>
      <c r="AO210" t="s">
        <v>1128</v>
      </c>
      <c r="AP210" t="s">
        <v>1129</v>
      </c>
      <c r="AQ210" t="s">
        <v>74</v>
      </c>
      <c r="AR210" t="s">
        <v>74</v>
      </c>
      <c r="AS210" t="s">
        <v>74</v>
      </c>
      <c r="AT210" t="s">
        <v>7219</v>
      </c>
      <c r="AU210">
        <v>2017</v>
      </c>
      <c r="AV210">
        <v>215</v>
      </c>
      <c r="AW210">
        <v>9</v>
      </c>
      <c r="AX210" t="s">
        <v>74</v>
      </c>
      <c r="AY210" t="s">
        <v>74</v>
      </c>
      <c r="AZ210" t="s">
        <v>74</v>
      </c>
      <c r="BA210" t="s">
        <v>74</v>
      </c>
      <c r="BB210">
        <v>1421</v>
      </c>
      <c r="BC210">
        <v>1429</v>
      </c>
      <c r="BD210" t="s">
        <v>74</v>
      </c>
      <c r="BE210" t="s">
        <v>7220</v>
      </c>
      <c r="BF210" t="str">
        <f>HYPERLINK("http://dx.doi.org/10.1093/infdis/jix140","http://dx.doi.org/10.1093/infdis/jix140")</f>
        <v>http://dx.doi.org/10.1093/infdis/jix140</v>
      </c>
      <c r="BG210" t="s">
        <v>74</v>
      </c>
      <c r="BH210" t="s">
        <v>74</v>
      </c>
      <c r="BI210" t="s">
        <v>74</v>
      </c>
      <c r="BJ210" t="s">
        <v>1132</v>
      </c>
      <c r="BK210" t="s">
        <v>112</v>
      </c>
      <c r="BL210" t="s">
        <v>1132</v>
      </c>
      <c r="BM210" t="s">
        <v>74</v>
      </c>
      <c r="BN210">
        <v>28368488</v>
      </c>
      <c r="BO210" t="s">
        <v>74</v>
      </c>
      <c r="BP210" t="s">
        <v>74</v>
      </c>
      <c r="BQ210" t="s">
        <v>74</v>
      </c>
      <c r="BR210" t="s">
        <v>93</v>
      </c>
      <c r="BS210" t="s">
        <v>7221</v>
      </c>
      <c r="BT210" t="str">
        <f>HYPERLINK("https%3A%2F%2Fwww.webofscience.com%2Fwos%2Fwoscc%2Ffull-record%2FWOS:000402614600012","View Full Record in Web of Science")</f>
        <v>View Full Record in Web of Science</v>
      </c>
    </row>
    <row r="211" spans="1:72" x14ac:dyDescent="0.15">
      <c r="A211" t="s">
        <v>72</v>
      </c>
      <c r="B211" t="s">
        <v>7240</v>
      </c>
      <c r="C211" t="s">
        <v>74</v>
      </c>
      <c r="D211" t="s">
        <v>74</v>
      </c>
      <c r="E211" t="s">
        <v>74</v>
      </c>
      <c r="F211" t="s">
        <v>7241</v>
      </c>
      <c r="G211" t="s">
        <v>74</v>
      </c>
      <c r="H211" t="s">
        <v>74</v>
      </c>
      <c r="I211" t="s">
        <v>7242</v>
      </c>
      <c r="J211" t="s">
        <v>7243</v>
      </c>
      <c r="K211" t="s">
        <v>74</v>
      </c>
      <c r="L211" t="s">
        <v>74</v>
      </c>
      <c r="M211" t="s">
        <v>74</v>
      </c>
      <c r="N211" t="s">
        <v>78</v>
      </c>
      <c r="O211" t="s">
        <v>74</v>
      </c>
      <c r="P211" t="s">
        <v>74</v>
      </c>
      <c r="Q211" t="s">
        <v>74</v>
      </c>
      <c r="R211" t="s">
        <v>74</v>
      </c>
      <c r="S211" t="s">
        <v>74</v>
      </c>
      <c r="T211" t="s">
        <v>7244</v>
      </c>
      <c r="U211" t="s">
        <v>7245</v>
      </c>
      <c r="V211" t="s">
        <v>7246</v>
      </c>
      <c r="W211" t="s">
        <v>7247</v>
      </c>
      <c r="X211" t="s">
        <v>7248</v>
      </c>
      <c r="Y211" t="s">
        <v>7249</v>
      </c>
      <c r="Z211" t="s">
        <v>7250</v>
      </c>
      <c r="AA211" t="s">
        <v>7251</v>
      </c>
      <c r="AB211" t="s">
        <v>7252</v>
      </c>
      <c r="AC211" t="s">
        <v>74</v>
      </c>
      <c r="AD211" t="s">
        <v>74</v>
      </c>
      <c r="AE211" t="s">
        <v>74</v>
      </c>
      <c r="AF211" t="s">
        <v>74</v>
      </c>
      <c r="AG211">
        <v>160</v>
      </c>
      <c r="AH211">
        <v>32</v>
      </c>
      <c r="AI211">
        <v>39</v>
      </c>
      <c r="AJ211">
        <v>1</v>
      </c>
      <c r="AK211">
        <v>34</v>
      </c>
      <c r="AL211" t="s">
        <v>74</v>
      </c>
      <c r="AM211" t="s">
        <v>74</v>
      </c>
      <c r="AN211" t="s">
        <v>74</v>
      </c>
      <c r="AO211" t="s">
        <v>7253</v>
      </c>
      <c r="AP211" t="s">
        <v>7254</v>
      </c>
      <c r="AQ211" t="s">
        <v>74</v>
      </c>
      <c r="AR211" t="s">
        <v>74</v>
      </c>
      <c r="AS211" t="s">
        <v>74</v>
      </c>
      <c r="AT211" t="s">
        <v>7255</v>
      </c>
      <c r="AU211">
        <v>2015</v>
      </c>
      <c r="AV211">
        <v>21</v>
      </c>
      <c r="AW211">
        <v>41</v>
      </c>
      <c r="AX211" t="s">
        <v>74</v>
      </c>
      <c r="AY211" t="s">
        <v>74</v>
      </c>
      <c r="AZ211" t="s">
        <v>74</v>
      </c>
      <c r="BA211" t="s">
        <v>74</v>
      </c>
      <c r="BB211">
        <v>11636</v>
      </c>
      <c r="BC211">
        <v>11653</v>
      </c>
      <c r="BD211" t="s">
        <v>74</v>
      </c>
      <c r="BE211" t="s">
        <v>7256</v>
      </c>
      <c r="BF211" t="str">
        <f>HYPERLINK("http://dx.doi.org/10.3748/wjg.v21.i41.11636","http://dx.doi.org/10.3748/wjg.v21.i41.11636")</f>
        <v>http://dx.doi.org/10.3748/wjg.v21.i41.11636</v>
      </c>
      <c r="BG211" t="s">
        <v>74</v>
      </c>
      <c r="BH211" t="s">
        <v>74</v>
      </c>
      <c r="BI211" t="s">
        <v>74</v>
      </c>
      <c r="BJ211" t="s">
        <v>5475</v>
      </c>
      <c r="BK211" t="s">
        <v>112</v>
      </c>
      <c r="BL211" t="s">
        <v>5475</v>
      </c>
      <c r="BM211" t="s">
        <v>74</v>
      </c>
      <c r="BN211">
        <v>26556992</v>
      </c>
      <c r="BO211" t="s">
        <v>74</v>
      </c>
      <c r="BP211" t="s">
        <v>74</v>
      </c>
      <c r="BQ211" t="s">
        <v>74</v>
      </c>
      <c r="BR211" t="s">
        <v>93</v>
      </c>
      <c r="BS211" t="s">
        <v>7257</v>
      </c>
      <c r="BT211" t="str">
        <f>HYPERLINK("https%3A%2F%2Fwww.webofscience.com%2Fwos%2Fwoscc%2Ffull-record%2FWOS:000365025100012","View Full Record in Web of Science")</f>
        <v>View Full Record in Web of Science</v>
      </c>
    </row>
    <row r="212" spans="1:72" x14ac:dyDescent="0.15">
      <c r="A212" t="s">
        <v>72</v>
      </c>
      <c r="B212" t="s">
        <v>8554</v>
      </c>
      <c r="C212" t="s">
        <v>74</v>
      </c>
      <c r="D212" t="s">
        <v>74</v>
      </c>
      <c r="E212" t="s">
        <v>74</v>
      </c>
      <c r="F212" t="s">
        <v>8555</v>
      </c>
      <c r="G212" t="s">
        <v>74</v>
      </c>
      <c r="H212" t="s">
        <v>74</v>
      </c>
      <c r="I212" t="s">
        <v>8556</v>
      </c>
      <c r="J212" t="s">
        <v>1828</v>
      </c>
      <c r="K212" t="s">
        <v>74</v>
      </c>
      <c r="L212" t="s">
        <v>74</v>
      </c>
      <c r="M212" t="s">
        <v>74</v>
      </c>
      <c r="N212" t="s">
        <v>78</v>
      </c>
      <c r="O212" t="s">
        <v>74</v>
      </c>
      <c r="P212" t="s">
        <v>74</v>
      </c>
      <c r="Q212" t="s">
        <v>74</v>
      </c>
      <c r="R212" t="s">
        <v>74</v>
      </c>
      <c r="S212" t="s">
        <v>74</v>
      </c>
      <c r="T212" t="s">
        <v>74</v>
      </c>
      <c r="U212" t="s">
        <v>8557</v>
      </c>
      <c r="V212" t="s">
        <v>8558</v>
      </c>
      <c r="W212" t="s">
        <v>8559</v>
      </c>
      <c r="X212" t="s">
        <v>1937</v>
      </c>
      <c r="Y212" t="s">
        <v>8560</v>
      </c>
      <c r="Z212" t="s">
        <v>8561</v>
      </c>
      <c r="AA212" t="s">
        <v>8562</v>
      </c>
      <c r="AB212" t="s">
        <v>8563</v>
      </c>
      <c r="AC212" t="s">
        <v>74</v>
      </c>
      <c r="AD212" t="s">
        <v>74</v>
      </c>
      <c r="AE212" t="s">
        <v>74</v>
      </c>
      <c r="AF212" t="s">
        <v>74</v>
      </c>
      <c r="AG212">
        <v>39</v>
      </c>
      <c r="AH212">
        <v>32</v>
      </c>
      <c r="AI212">
        <v>32</v>
      </c>
      <c r="AJ212">
        <v>0</v>
      </c>
      <c r="AK212">
        <v>12</v>
      </c>
      <c r="AL212" t="s">
        <v>74</v>
      </c>
      <c r="AM212" t="s">
        <v>74</v>
      </c>
      <c r="AN212" t="s">
        <v>74</v>
      </c>
      <c r="AO212" t="s">
        <v>1837</v>
      </c>
      <c r="AP212" t="s">
        <v>74</v>
      </c>
      <c r="AQ212" t="s">
        <v>74</v>
      </c>
      <c r="AR212" t="s">
        <v>74</v>
      </c>
      <c r="AS212" t="s">
        <v>74</v>
      </c>
      <c r="AT212" t="s">
        <v>5070</v>
      </c>
      <c r="AU212">
        <v>2018</v>
      </c>
      <c r="AV212">
        <v>8</v>
      </c>
      <c r="AW212" t="s">
        <v>74</v>
      </c>
      <c r="AX212" t="s">
        <v>74</v>
      </c>
      <c r="AY212" t="s">
        <v>74</v>
      </c>
      <c r="AZ212" t="s">
        <v>74</v>
      </c>
      <c r="BA212" t="s">
        <v>74</v>
      </c>
      <c r="BB212" t="s">
        <v>74</v>
      </c>
      <c r="BC212" t="s">
        <v>74</v>
      </c>
      <c r="BD212">
        <v>14707</v>
      </c>
      <c r="BE212" t="s">
        <v>8564</v>
      </c>
      <c r="BF212" t="str">
        <f>HYPERLINK("http://dx.doi.org/10.1038/s41598-018-32900-6","http://dx.doi.org/10.1038/s41598-018-32900-6")</f>
        <v>http://dx.doi.org/10.1038/s41598-018-32900-6</v>
      </c>
      <c r="BG212" t="s">
        <v>74</v>
      </c>
      <c r="BH212" t="s">
        <v>74</v>
      </c>
      <c r="BI212" t="s">
        <v>74</v>
      </c>
      <c r="BJ212" t="s">
        <v>545</v>
      </c>
      <c r="BK212" t="s">
        <v>112</v>
      </c>
      <c r="BL212" t="s">
        <v>546</v>
      </c>
      <c r="BM212" t="s">
        <v>74</v>
      </c>
      <c r="BN212">
        <v>30279572</v>
      </c>
      <c r="BO212" t="s">
        <v>74</v>
      </c>
      <c r="BP212" t="s">
        <v>74</v>
      </c>
      <c r="BQ212" t="s">
        <v>74</v>
      </c>
      <c r="BR212" t="s">
        <v>93</v>
      </c>
      <c r="BS212" t="s">
        <v>8565</v>
      </c>
      <c r="BT212" t="str">
        <f>HYPERLINK("https%3A%2F%2Fwww.webofscience.com%2Fwos%2Fwoscc%2Ffull-record%2FWOS:000446037100002","View Full Record in Web of Science")</f>
        <v>View Full Record in Web of Science</v>
      </c>
    </row>
    <row r="213" spans="1:72" x14ac:dyDescent="0.15">
      <c r="A213" t="s">
        <v>72</v>
      </c>
      <c r="B213" t="s">
        <v>9340</v>
      </c>
      <c r="C213" t="s">
        <v>74</v>
      </c>
      <c r="D213" t="s">
        <v>74</v>
      </c>
      <c r="E213" t="s">
        <v>74</v>
      </c>
      <c r="F213" t="s">
        <v>9341</v>
      </c>
      <c r="G213" t="s">
        <v>74</v>
      </c>
      <c r="H213" t="s">
        <v>74</v>
      </c>
      <c r="I213" t="s">
        <v>9342</v>
      </c>
      <c r="J213" t="s">
        <v>3922</v>
      </c>
      <c r="K213" t="s">
        <v>74</v>
      </c>
      <c r="L213" t="s">
        <v>74</v>
      </c>
      <c r="M213" t="s">
        <v>74</v>
      </c>
      <c r="N213" t="s">
        <v>78</v>
      </c>
      <c r="O213" t="s">
        <v>74</v>
      </c>
      <c r="P213" t="s">
        <v>74</v>
      </c>
      <c r="Q213" t="s">
        <v>74</v>
      </c>
      <c r="R213" t="s">
        <v>74</v>
      </c>
      <c r="S213" t="s">
        <v>74</v>
      </c>
      <c r="T213" t="s">
        <v>9343</v>
      </c>
      <c r="U213" t="s">
        <v>9344</v>
      </c>
      <c r="V213" t="s">
        <v>9345</v>
      </c>
      <c r="W213" t="s">
        <v>9346</v>
      </c>
      <c r="X213" t="s">
        <v>9347</v>
      </c>
      <c r="Y213" t="s">
        <v>9348</v>
      </c>
      <c r="Z213" t="s">
        <v>9075</v>
      </c>
      <c r="AA213" t="s">
        <v>9349</v>
      </c>
      <c r="AB213" t="s">
        <v>9350</v>
      </c>
      <c r="AC213" t="s">
        <v>74</v>
      </c>
      <c r="AD213" t="s">
        <v>74</v>
      </c>
      <c r="AE213" t="s">
        <v>74</v>
      </c>
      <c r="AF213" t="s">
        <v>74</v>
      </c>
      <c r="AG213">
        <v>74</v>
      </c>
      <c r="AH213">
        <v>32</v>
      </c>
      <c r="AI213">
        <v>34</v>
      </c>
      <c r="AJ213">
        <v>1</v>
      </c>
      <c r="AK213">
        <v>13</v>
      </c>
      <c r="AL213" t="s">
        <v>74</v>
      </c>
      <c r="AM213" t="s">
        <v>74</v>
      </c>
      <c r="AN213" t="s">
        <v>74</v>
      </c>
      <c r="AO213" t="s">
        <v>3932</v>
      </c>
      <c r="AP213" t="s">
        <v>3933</v>
      </c>
      <c r="AQ213" t="s">
        <v>74</v>
      </c>
      <c r="AR213" t="s">
        <v>74</v>
      </c>
      <c r="AS213" t="s">
        <v>74</v>
      </c>
      <c r="AT213" t="s">
        <v>74</v>
      </c>
      <c r="AU213">
        <v>2017</v>
      </c>
      <c r="AV213">
        <v>28</v>
      </c>
      <c r="AW213">
        <v>3</v>
      </c>
      <c r="AX213" t="s">
        <v>74</v>
      </c>
      <c r="AY213" t="s">
        <v>74</v>
      </c>
      <c r="AZ213" t="s">
        <v>74</v>
      </c>
      <c r="BA213" t="s">
        <v>74</v>
      </c>
      <c r="BB213">
        <v>272</v>
      </c>
      <c r="BC213">
        <v>280</v>
      </c>
      <c r="BD213" t="s">
        <v>74</v>
      </c>
      <c r="BE213" t="s">
        <v>9351</v>
      </c>
      <c r="BF213" t="str">
        <f>HYPERLINK("http://dx.doi.org/10.1080/09537104.2016.1218455","http://dx.doi.org/10.1080/09537104.2016.1218455")</f>
        <v>http://dx.doi.org/10.1080/09537104.2016.1218455</v>
      </c>
      <c r="BG213" t="s">
        <v>74</v>
      </c>
      <c r="BH213" t="s">
        <v>74</v>
      </c>
      <c r="BI213" t="s">
        <v>74</v>
      </c>
      <c r="BJ213" t="s">
        <v>3935</v>
      </c>
      <c r="BK213" t="s">
        <v>112</v>
      </c>
      <c r="BL213" t="s">
        <v>3935</v>
      </c>
      <c r="BM213" t="s">
        <v>74</v>
      </c>
      <c r="BN213">
        <v>27681879</v>
      </c>
      <c r="BO213" t="s">
        <v>74</v>
      </c>
      <c r="BP213" t="s">
        <v>74</v>
      </c>
      <c r="BQ213" t="s">
        <v>74</v>
      </c>
      <c r="BR213" t="s">
        <v>93</v>
      </c>
      <c r="BS213" t="s">
        <v>9352</v>
      </c>
      <c r="BT213" t="str">
        <f>HYPERLINK("https%3A%2F%2Fwww.webofscience.com%2Fwos%2Fwoscc%2Ffull-record%2FWOS:000400794900010","View Full Record in Web of Science")</f>
        <v>View Full Record in Web of Science</v>
      </c>
    </row>
    <row r="214" spans="1:72" x14ac:dyDescent="0.15">
      <c r="A214" t="s">
        <v>72</v>
      </c>
      <c r="B214" t="s">
        <v>9814</v>
      </c>
      <c r="C214" t="s">
        <v>74</v>
      </c>
      <c r="D214" t="s">
        <v>74</v>
      </c>
      <c r="E214" t="s">
        <v>74</v>
      </c>
      <c r="F214" t="s">
        <v>9815</v>
      </c>
      <c r="G214" t="s">
        <v>74</v>
      </c>
      <c r="H214" t="s">
        <v>74</v>
      </c>
      <c r="I214" t="s">
        <v>9816</v>
      </c>
      <c r="J214" t="s">
        <v>568</v>
      </c>
      <c r="K214" t="s">
        <v>74</v>
      </c>
      <c r="L214" t="s">
        <v>74</v>
      </c>
      <c r="M214" t="s">
        <v>74</v>
      </c>
      <c r="N214" t="s">
        <v>78</v>
      </c>
      <c r="O214" t="s">
        <v>74</v>
      </c>
      <c r="P214" t="s">
        <v>74</v>
      </c>
      <c r="Q214" t="s">
        <v>74</v>
      </c>
      <c r="R214" t="s">
        <v>74</v>
      </c>
      <c r="S214" t="s">
        <v>74</v>
      </c>
      <c r="T214" t="s">
        <v>74</v>
      </c>
      <c r="U214" t="s">
        <v>9817</v>
      </c>
      <c r="V214" t="s">
        <v>9818</v>
      </c>
      <c r="W214" t="s">
        <v>9819</v>
      </c>
      <c r="X214" t="s">
        <v>9820</v>
      </c>
      <c r="Y214" t="s">
        <v>9821</v>
      </c>
      <c r="Z214" t="s">
        <v>9822</v>
      </c>
      <c r="AA214" t="s">
        <v>9823</v>
      </c>
      <c r="AB214" t="s">
        <v>9824</v>
      </c>
      <c r="AC214" t="s">
        <v>74</v>
      </c>
      <c r="AD214" t="s">
        <v>74</v>
      </c>
      <c r="AE214" t="s">
        <v>74</v>
      </c>
      <c r="AF214" t="s">
        <v>74</v>
      </c>
      <c r="AG214">
        <v>34</v>
      </c>
      <c r="AH214">
        <v>32</v>
      </c>
      <c r="AI214">
        <v>34</v>
      </c>
      <c r="AJ214">
        <v>1</v>
      </c>
      <c r="AK214">
        <v>8</v>
      </c>
      <c r="AL214" t="s">
        <v>74</v>
      </c>
      <c r="AM214" t="s">
        <v>74</v>
      </c>
      <c r="AN214" t="s">
        <v>74</v>
      </c>
      <c r="AO214" t="s">
        <v>577</v>
      </c>
      <c r="AP214" t="s">
        <v>74</v>
      </c>
      <c r="AQ214" t="s">
        <v>74</v>
      </c>
      <c r="AR214" t="s">
        <v>74</v>
      </c>
      <c r="AS214" t="s">
        <v>74</v>
      </c>
      <c r="AT214" t="s">
        <v>9825</v>
      </c>
      <c r="AU214">
        <v>2016</v>
      </c>
      <c r="AV214">
        <v>11</v>
      </c>
      <c r="AW214">
        <v>9</v>
      </c>
      <c r="AX214" t="s">
        <v>74</v>
      </c>
      <c r="AY214" t="s">
        <v>74</v>
      </c>
      <c r="AZ214" t="s">
        <v>74</v>
      </c>
      <c r="BA214" t="s">
        <v>74</v>
      </c>
      <c r="BB214" t="s">
        <v>74</v>
      </c>
      <c r="BC214" t="s">
        <v>74</v>
      </c>
      <c r="BD214" t="s">
        <v>9826</v>
      </c>
      <c r="BE214" t="s">
        <v>9827</v>
      </c>
      <c r="BF214" t="str">
        <f>HYPERLINK("http://dx.doi.org/10.1371/journal.pone.0162574","http://dx.doi.org/10.1371/journal.pone.0162574")</f>
        <v>http://dx.doi.org/10.1371/journal.pone.0162574</v>
      </c>
      <c r="BG214" t="s">
        <v>74</v>
      </c>
      <c r="BH214" t="s">
        <v>74</v>
      </c>
      <c r="BI214" t="s">
        <v>74</v>
      </c>
      <c r="BJ214" t="s">
        <v>545</v>
      </c>
      <c r="BK214" t="s">
        <v>112</v>
      </c>
      <c r="BL214" t="s">
        <v>546</v>
      </c>
      <c r="BM214" t="s">
        <v>74</v>
      </c>
      <c r="BN214">
        <v>27611973</v>
      </c>
      <c r="BO214" t="s">
        <v>74</v>
      </c>
      <c r="BP214" t="s">
        <v>74</v>
      </c>
      <c r="BQ214" t="s">
        <v>74</v>
      </c>
      <c r="BR214" t="s">
        <v>93</v>
      </c>
      <c r="BS214" t="s">
        <v>9828</v>
      </c>
      <c r="BT214" t="str">
        <f>HYPERLINK("https%3A%2F%2Fwww.webofscience.com%2Fwos%2Fwoscc%2Ffull-record%2FWOS:000383255900129","View Full Record in Web of Science")</f>
        <v>View Full Record in Web of Science</v>
      </c>
    </row>
    <row r="215" spans="1:72" x14ac:dyDescent="0.15">
      <c r="A215" t="s">
        <v>72</v>
      </c>
      <c r="B215" t="s">
        <v>9893</v>
      </c>
      <c r="C215" t="s">
        <v>74</v>
      </c>
      <c r="D215" t="s">
        <v>74</v>
      </c>
      <c r="E215" t="s">
        <v>74</v>
      </c>
      <c r="F215" t="s">
        <v>9893</v>
      </c>
      <c r="G215" t="s">
        <v>74</v>
      </c>
      <c r="H215" t="s">
        <v>74</v>
      </c>
      <c r="I215" t="s">
        <v>9894</v>
      </c>
      <c r="J215" t="s">
        <v>9181</v>
      </c>
      <c r="K215" t="s">
        <v>74</v>
      </c>
      <c r="L215" t="s">
        <v>74</v>
      </c>
      <c r="M215" t="s">
        <v>74</v>
      </c>
      <c r="N215" t="s">
        <v>78</v>
      </c>
      <c r="O215" t="s">
        <v>74</v>
      </c>
      <c r="P215" t="s">
        <v>74</v>
      </c>
      <c r="Q215" t="s">
        <v>74</v>
      </c>
      <c r="R215" t="s">
        <v>74</v>
      </c>
      <c r="S215" t="s">
        <v>74</v>
      </c>
      <c r="T215" t="s">
        <v>74</v>
      </c>
      <c r="U215" t="s">
        <v>9895</v>
      </c>
      <c r="V215" t="s">
        <v>9896</v>
      </c>
      <c r="W215" t="s">
        <v>9897</v>
      </c>
      <c r="X215" t="s">
        <v>9898</v>
      </c>
      <c r="Y215" t="s">
        <v>74</v>
      </c>
      <c r="Z215" t="s">
        <v>74</v>
      </c>
      <c r="AA215" t="s">
        <v>74</v>
      </c>
      <c r="AB215" t="s">
        <v>74</v>
      </c>
      <c r="AC215" t="s">
        <v>74</v>
      </c>
      <c r="AD215" t="s">
        <v>74</v>
      </c>
      <c r="AE215" t="s">
        <v>74</v>
      </c>
      <c r="AF215" t="s">
        <v>74</v>
      </c>
      <c r="AG215">
        <v>39</v>
      </c>
      <c r="AH215">
        <v>32</v>
      </c>
      <c r="AI215">
        <v>32</v>
      </c>
      <c r="AJ215">
        <v>0</v>
      </c>
      <c r="AK215">
        <v>0</v>
      </c>
      <c r="AL215" t="s">
        <v>74</v>
      </c>
      <c r="AM215" t="s">
        <v>74</v>
      </c>
      <c r="AN215" t="s">
        <v>74</v>
      </c>
      <c r="AO215" t="s">
        <v>9189</v>
      </c>
      <c r="AP215" t="s">
        <v>74</v>
      </c>
      <c r="AQ215" t="s">
        <v>74</v>
      </c>
      <c r="AR215" t="s">
        <v>74</v>
      </c>
      <c r="AS215" t="s">
        <v>74</v>
      </c>
      <c r="AT215" t="s">
        <v>503</v>
      </c>
      <c r="AU215">
        <v>1994</v>
      </c>
      <c r="AV215">
        <v>160</v>
      </c>
      <c r="AW215">
        <v>1</v>
      </c>
      <c r="AX215" t="s">
        <v>74</v>
      </c>
      <c r="AY215" t="s">
        <v>74</v>
      </c>
      <c r="AZ215" t="s">
        <v>74</v>
      </c>
      <c r="BA215" t="s">
        <v>74</v>
      </c>
      <c r="BB215">
        <v>17</v>
      </c>
      <c r="BC215">
        <v>28</v>
      </c>
      <c r="BD215" t="s">
        <v>74</v>
      </c>
      <c r="BE215" t="s">
        <v>9899</v>
      </c>
      <c r="BF215" t="str">
        <f>HYPERLINK("http://dx.doi.org/10.1002/jcp.1041600104","http://dx.doi.org/10.1002/jcp.1041600104")</f>
        <v>http://dx.doi.org/10.1002/jcp.1041600104</v>
      </c>
      <c r="BG215" t="s">
        <v>74</v>
      </c>
      <c r="BH215" t="s">
        <v>74</v>
      </c>
      <c r="BI215" t="s">
        <v>74</v>
      </c>
      <c r="BJ215" t="s">
        <v>4691</v>
      </c>
      <c r="BK215" t="s">
        <v>112</v>
      </c>
      <c r="BL215" t="s">
        <v>4691</v>
      </c>
      <c r="BM215" t="s">
        <v>74</v>
      </c>
      <c r="BN215">
        <v>8021295</v>
      </c>
      <c r="BO215" t="s">
        <v>74</v>
      </c>
      <c r="BP215" t="s">
        <v>74</v>
      </c>
      <c r="BQ215" t="s">
        <v>74</v>
      </c>
      <c r="BR215" t="s">
        <v>93</v>
      </c>
      <c r="BS215" t="s">
        <v>9900</v>
      </c>
      <c r="BT215" t="str">
        <f>HYPERLINK("https%3A%2F%2Fwww.webofscience.com%2Fwos%2Fwoscc%2Ffull-record%2FWOS:A1994NU58600003","View Full Record in Web of Science")</f>
        <v>View Full Record in Web of Science</v>
      </c>
    </row>
    <row r="216" spans="1:72" x14ac:dyDescent="0.15">
      <c r="A216" t="s">
        <v>72</v>
      </c>
      <c r="B216" t="s">
        <v>5699</v>
      </c>
      <c r="C216" t="s">
        <v>74</v>
      </c>
      <c r="D216" t="s">
        <v>74</v>
      </c>
      <c r="E216" t="s">
        <v>74</v>
      </c>
      <c r="F216" t="s">
        <v>5700</v>
      </c>
      <c r="G216" t="s">
        <v>74</v>
      </c>
      <c r="H216" t="s">
        <v>74</v>
      </c>
      <c r="I216" t="s">
        <v>5701</v>
      </c>
      <c r="J216" t="s">
        <v>992</v>
      </c>
      <c r="K216" t="s">
        <v>74</v>
      </c>
      <c r="L216" t="s">
        <v>74</v>
      </c>
      <c r="M216" t="s">
        <v>74</v>
      </c>
      <c r="N216" t="s">
        <v>78</v>
      </c>
      <c r="O216" t="s">
        <v>74</v>
      </c>
      <c r="P216" t="s">
        <v>74</v>
      </c>
      <c r="Q216" t="s">
        <v>74</v>
      </c>
      <c r="R216" t="s">
        <v>74</v>
      </c>
      <c r="S216" t="s">
        <v>74</v>
      </c>
      <c r="T216" t="s">
        <v>5702</v>
      </c>
      <c r="U216" t="s">
        <v>5703</v>
      </c>
      <c r="V216" t="s">
        <v>5704</v>
      </c>
      <c r="W216" t="s">
        <v>5705</v>
      </c>
      <c r="X216" t="s">
        <v>5706</v>
      </c>
      <c r="Y216" t="s">
        <v>5707</v>
      </c>
      <c r="Z216" t="s">
        <v>5708</v>
      </c>
      <c r="AA216" t="s">
        <v>74</v>
      </c>
      <c r="AB216" t="s">
        <v>5709</v>
      </c>
      <c r="AC216" t="s">
        <v>74</v>
      </c>
      <c r="AD216" t="s">
        <v>74</v>
      </c>
      <c r="AE216" t="s">
        <v>74</v>
      </c>
      <c r="AF216" t="s">
        <v>74</v>
      </c>
      <c r="AG216">
        <v>26</v>
      </c>
      <c r="AH216">
        <v>31</v>
      </c>
      <c r="AI216">
        <v>30</v>
      </c>
      <c r="AJ216">
        <v>46</v>
      </c>
      <c r="AK216">
        <v>203</v>
      </c>
      <c r="AL216" t="s">
        <v>74</v>
      </c>
      <c r="AM216" t="s">
        <v>74</v>
      </c>
      <c r="AN216" t="s">
        <v>74</v>
      </c>
      <c r="AO216" t="s">
        <v>1001</v>
      </c>
      <c r="AP216" t="s">
        <v>1002</v>
      </c>
      <c r="AQ216" t="s">
        <v>74</v>
      </c>
      <c r="AR216" t="s">
        <v>74</v>
      </c>
      <c r="AS216" t="s">
        <v>74</v>
      </c>
      <c r="AT216" t="s">
        <v>3580</v>
      </c>
      <c r="AU216">
        <v>2020</v>
      </c>
      <c r="AV216">
        <v>166</v>
      </c>
      <c r="AW216" t="s">
        <v>74</v>
      </c>
      <c r="AX216" t="s">
        <v>74</v>
      </c>
      <c r="AY216" t="s">
        <v>74</v>
      </c>
      <c r="AZ216" t="s">
        <v>74</v>
      </c>
      <c r="BA216" t="s">
        <v>74</v>
      </c>
      <c r="BB216" t="s">
        <v>74</v>
      </c>
      <c r="BC216" t="s">
        <v>74</v>
      </c>
      <c r="BD216">
        <v>112452</v>
      </c>
      <c r="BE216" t="s">
        <v>5710</v>
      </c>
      <c r="BF216" t="str">
        <f>HYPERLINK("http://dx.doi.org/10.1016/j.bios.2020.112452","http://dx.doi.org/10.1016/j.bios.2020.112452")</f>
        <v>http://dx.doi.org/10.1016/j.bios.2020.112452</v>
      </c>
      <c r="BG216" t="s">
        <v>74</v>
      </c>
      <c r="BH216" t="s">
        <v>74</v>
      </c>
      <c r="BI216" t="s">
        <v>74</v>
      </c>
      <c r="BJ216" t="s">
        <v>1006</v>
      </c>
      <c r="BK216" t="s">
        <v>112</v>
      </c>
      <c r="BL216" t="s">
        <v>1007</v>
      </c>
      <c r="BM216" t="s">
        <v>74</v>
      </c>
      <c r="BN216">
        <v>32738648</v>
      </c>
      <c r="BO216" t="s">
        <v>74</v>
      </c>
      <c r="BP216" t="s">
        <v>74</v>
      </c>
      <c r="BQ216" t="s">
        <v>74</v>
      </c>
      <c r="BR216" t="s">
        <v>93</v>
      </c>
      <c r="BS216" t="s">
        <v>5711</v>
      </c>
      <c r="BT216" t="str">
        <f>HYPERLINK("https%3A%2F%2Fwww.webofscience.com%2Fwos%2Fwoscc%2Ffull-record%2FWOS:000566449100006","View Full Record in Web of Science")</f>
        <v>View Full Record in Web of Science</v>
      </c>
    </row>
    <row r="217" spans="1:72" x14ac:dyDescent="0.15">
      <c r="A217" t="s">
        <v>72</v>
      </c>
      <c r="B217" t="s">
        <v>6076</v>
      </c>
      <c r="C217" t="s">
        <v>74</v>
      </c>
      <c r="D217" t="s">
        <v>74</v>
      </c>
      <c r="E217" t="s">
        <v>74</v>
      </c>
      <c r="F217" t="s">
        <v>6077</v>
      </c>
      <c r="G217" t="s">
        <v>74</v>
      </c>
      <c r="H217" t="s">
        <v>74</v>
      </c>
      <c r="I217" t="s">
        <v>6078</v>
      </c>
      <c r="J217" t="s">
        <v>4401</v>
      </c>
      <c r="K217" t="s">
        <v>74</v>
      </c>
      <c r="L217" t="s">
        <v>74</v>
      </c>
      <c r="M217" t="s">
        <v>74</v>
      </c>
      <c r="N217" t="s">
        <v>78</v>
      </c>
      <c r="O217" t="s">
        <v>74</v>
      </c>
      <c r="P217" t="s">
        <v>74</v>
      </c>
      <c r="Q217" t="s">
        <v>74</v>
      </c>
      <c r="R217" t="s">
        <v>74</v>
      </c>
      <c r="S217" t="s">
        <v>74</v>
      </c>
      <c r="T217" t="s">
        <v>6079</v>
      </c>
      <c r="U217" t="s">
        <v>6080</v>
      </c>
      <c r="V217" t="s">
        <v>6081</v>
      </c>
      <c r="W217" t="s">
        <v>6082</v>
      </c>
      <c r="X217" t="s">
        <v>6083</v>
      </c>
      <c r="Y217" t="s">
        <v>6084</v>
      </c>
      <c r="Z217" t="s">
        <v>6085</v>
      </c>
      <c r="AA217" t="s">
        <v>6086</v>
      </c>
      <c r="AB217" t="s">
        <v>6087</v>
      </c>
      <c r="AC217" t="s">
        <v>74</v>
      </c>
      <c r="AD217" t="s">
        <v>74</v>
      </c>
      <c r="AE217" t="s">
        <v>74</v>
      </c>
      <c r="AF217" t="s">
        <v>74</v>
      </c>
      <c r="AG217">
        <v>29</v>
      </c>
      <c r="AH217">
        <v>31</v>
      </c>
      <c r="AI217">
        <v>33</v>
      </c>
      <c r="AJ217">
        <v>2</v>
      </c>
      <c r="AK217">
        <v>17</v>
      </c>
      <c r="AL217" t="s">
        <v>74</v>
      </c>
      <c r="AM217" t="s">
        <v>74</v>
      </c>
      <c r="AN217" t="s">
        <v>74</v>
      </c>
      <c r="AO217" t="s">
        <v>4411</v>
      </c>
      <c r="AP217" t="s">
        <v>4412</v>
      </c>
      <c r="AQ217" t="s">
        <v>74</v>
      </c>
      <c r="AR217" t="s">
        <v>74</v>
      </c>
      <c r="AS217" t="s">
        <v>74</v>
      </c>
      <c r="AT217" t="s">
        <v>6088</v>
      </c>
      <c r="AU217">
        <v>2019</v>
      </c>
      <c r="AV217">
        <v>298</v>
      </c>
      <c r="AW217" t="s">
        <v>74</v>
      </c>
      <c r="AX217" t="s">
        <v>74</v>
      </c>
      <c r="AY217" t="s">
        <v>74</v>
      </c>
      <c r="AZ217" t="s">
        <v>74</v>
      </c>
      <c r="BA217" t="s">
        <v>74</v>
      </c>
      <c r="BB217">
        <v>76</v>
      </c>
      <c r="BC217">
        <v>81</v>
      </c>
      <c r="BD217" t="s">
        <v>74</v>
      </c>
      <c r="BE217" t="s">
        <v>6089</v>
      </c>
      <c r="BF217" t="str">
        <f>HYPERLINK("http://dx.doi.org/10.1016/j.jbiotec.2019.04.015","http://dx.doi.org/10.1016/j.jbiotec.2019.04.015")</f>
        <v>http://dx.doi.org/10.1016/j.jbiotec.2019.04.015</v>
      </c>
      <c r="BG217" t="s">
        <v>74</v>
      </c>
      <c r="BH217" t="s">
        <v>74</v>
      </c>
      <c r="BI217" t="s">
        <v>74</v>
      </c>
      <c r="BJ217" t="s">
        <v>4415</v>
      </c>
      <c r="BK217" t="s">
        <v>112</v>
      </c>
      <c r="BL217" t="s">
        <v>4415</v>
      </c>
      <c r="BM217" t="s">
        <v>74</v>
      </c>
      <c r="BN217">
        <v>31002856</v>
      </c>
      <c r="BO217" t="s">
        <v>74</v>
      </c>
      <c r="BP217" t="s">
        <v>74</v>
      </c>
      <c r="BQ217" t="s">
        <v>74</v>
      </c>
      <c r="BR217" t="s">
        <v>93</v>
      </c>
      <c r="BS217" t="s">
        <v>6090</v>
      </c>
      <c r="BT217" t="str">
        <f>HYPERLINK("https%3A%2F%2Fwww.webofscience.com%2Fwos%2Fwoscc%2Ffull-record%2FWOS:000466942100010","View Full Record in Web of Science")</f>
        <v>View Full Record in Web of Science</v>
      </c>
    </row>
    <row r="218" spans="1:72" x14ac:dyDescent="0.15">
      <c r="A218" t="s">
        <v>72</v>
      </c>
      <c r="B218" t="s">
        <v>6389</v>
      </c>
      <c r="C218" t="s">
        <v>74</v>
      </c>
      <c r="D218" t="s">
        <v>74</v>
      </c>
      <c r="E218" t="s">
        <v>74</v>
      </c>
      <c r="F218" t="s">
        <v>6390</v>
      </c>
      <c r="G218" t="s">
        <v>74</v>
      </c>
      <c r="H218" t="s">
        <v>74</v>
      </c>
      <c r="I218" t="s">
        <v>6391</v>
      </c>
      <c r="J218" t="s">
        <v>3667</v>
      </c>
      <c r="K218" t="s">
        <v>74</v>
      </c>
      <c r="L218" t="s">
        <v>74</v>
      </c>
      <c r="M218" t="s">
        <v>74</v>
      </c>
      <c r="N218" t="s">
        <v>78</v>
      </c>
      <c r="O218" t="s">
        <v>74</v>
      </c>
      <c r="P218" t="s">
        <v>74</v>
      </c>
      <c r="Q218" t="s">
        <v>74</v>
      </c>
      <c r="R218" t="s">
        <v>74</v>
      </c>
      <c r="S218" t="s">
        <v>74</v>
      </c>
      <c r="T218" t="s">
        <v>6392</v>
      </c>
      <c r="U218" t="s">
        <v>6393</v>
      </c>
      <c r="V218" t="s">
        <v>6394</v>
      </c>
      <c r="W218" t="s">
        <v>6395</v>
      </c>
      <c r="X218" t="s">
        <v>6396</v>
      </c>
      <c r="Y218" t="s">
        <v>6397</v>
      </c>
      <c r="Z218" t="s">
        <v>6398</v>
      </c>
      <c r="AA218" t="s">
        <v>74</v>
      </c>
      <c r="AB218" t="s">
        <v>6399</v>
      </c>
      <c r="AC218" t="s">
        <v>74</v>
      </c>
      <c r="AD218" t="s">
        <v>74</v>
      </c>
      <c r="AE218" t="s">
        <v>74</v>
      </c>
      <c r="AF218" t="s">
        <v>74</v>
      </c>
      <c r="AG218">
        <v>43</v>
      </c>
      <c r="AH218">
        <v>31</v>
      </c>
      <c r="AI218">
        <v>31</v>
      </c>
      <c r="AJ218">
        <v>0</v>
      </c>
      <c r="AK218">
        <v>12</v>
      </c>
      <c r="AL218" t="s">
        <v>74</v>
      </c>
      <c r="AM218" t="s">
        <v>74</v>
      </c>
      <c r="AN218" t="s">
        <v>74</v>
      </c>
      <c r="AO218" t="s">
        <v>3676</v>
      </c>
      <c r="AP218" t="s">
        <v>3677</v>
      </c>
      <c r="AQ218" t="s">
        <v>74</v>
      </c>
      <c r="AR218" t="s">
        <v>74</v>
      </c>
      <c r="AS218" t="s">
        <v>74</v>
      </c>
      <c r="AT218" t="s">
        <v>743</v>
      </c>
      <c r="AU218">
        <v>2015</v>
      </c>
      <c r="AV218">
        <v>64</v>
      </c>
      <c r="AW218">
        <v>3</v>
      </c>
      <c r="AX218" t="s">
        <v>74</v>
      </c>
      <c r="AY218" t="s">
        <v>74</v>
      </c>
      <c r="AZ218" t="s">
        <v>74</v>
      </c>
      <c r="BA218" t="s">
        <v>74</v>
      </c>
      <c r="BB218">
        <v>299</v>
      </c>
      <c r="BC218">
        <v>309</v>
      </c>
      <c r="BD218" t="s">
        <v>74</v>
      </c>
      <c r="BE218" t="s">
        <v>6400</v>
      </c>
      <c r="BF218" t="str">
        <f>HYPERLINK("http://dx.doi.org/10.1007/s00262-014-1622-z","http://dx.doi.org/10.1007/s00262-014-1622-z")</f>
        <v>http://dx.doi.org/10.1007/s00262-014-1622-z</v>
      </c>
      <c r="BG218" t="s">
        <v>74</v>
      </c>
      <c r="BH218" t="s">
        <v>74</v>
      </c>
      <c r="BI218" t="s">
        <v>74</v>
      </c>
      <c r="BJ218" t="s">
        <v>3680</v>
      </c>
      <c r="BK218" t="s">
        <v>112</v>
      </c>
      <c r="BL218" t="s">
        <v>3680</v>
      </c>
      <c r="BM218" t="s">
        <v>74</v>
      </c>
      <c r="BN218">
        <v>25391690</v>
      </c>
      <c r="BO218" t="s">
        <v>74</v>
      </c>
      <c r="BP218" t="s">
        <v>74</v>
      </c>
      <c r="BQ218" t="s">
        <v>74</v>
      </c>
      <c r="BR218" t="s">
        <v>93</v>
      </c>
      <c r="BS218" t="s">
        <v>6401</v>
      </c>
      <c r="BT218" t="str">
        <f>HYPERLINK("https%3A%2F%2Fwww.webofscience.com%2Fwos%2Fwoscc%2Ffull-record%2FWOS:000350351200004","View Full Record in Web of Science")</f>
        <v>View Full Record in Web of Science</v>
      </c>
    </row>
    <row r="219" spans="1:72" x14ac:dyDescent="0.15">
      <c r="A219" t="s">
        <v>72</v>
      </c>
      <c r="B219" t="s">
        <v>9224</v>
      </c>
      <c r="C219" t="s">
        <v>74</v>
      </c>
      <c r="D219" t="s">
        <v>74</v>
      </c>
      <c r="E219" t="s">
        <v>74</v>
      </c>
      <c r="F219" t="s">
        <v>9224</v>
      </c>
      <c r="G219" t="s">
        <v>74</v>
      </c>
      <c r="H219" t="s">
        <v>74</v>
      </c>
      <c r="I219" t="s">
        <v>9225</v>
      </c>
      <c r="J219" t="s">
        <v>9226</v>
      </c>
      <c r="K219" t="s">
        <v>74</v>
      </c>
      <c r="L219" t="s">
        <v>74</v>
      </c>
      <c r="M219" t="s">
        <v>74</v>
      </c>
      <c r="N219" t="s">
        <v>78</v>
      </c>
      <c r="O219" t="s">
        <v>74</v>
      </c>
      <c r="P219" t="s">
        <v>74</v>
      </c>
      <c r="Q219" t="s">
        <v>74</v>
      </c>
      <c r="R219" t="s">
        <v>74</v>
      </c>
      <c r="S219" t="s">
        <v>74</v>
      </c>
      <c r="T219" t="s">
        <v>74</v>
      </c>
      <c r="U219" t="s">
        <v>9227</v>
      </c>
      <c r="V219" t="s">
        <v>9228</v>
      </c>
      <c r="W219" t="s">
        <v>9229</v>
      </c>
      <c r="X219" t="s">
        <v>9230</v>
      </c>
      <c r="Y219" t="s">
        <v>9231</v>
      </c>
      <c r="Z219" t="s">
        <v>9232</v>
      </c>
      <c r="AA219" t="s">
        <v>9233</v>
      </c>
      <c r="AB219" t="s">
        <v>9234</v>
      </c>
      <c r="AC219" t="s">
        <v>74</v>
      </c>
      <c r="AD219" t="s">
        <v>74</v>
      </c>
      <c r="AE219" t="s">
        <v>74</v>
      </c>
      <c r="AF219" t="s">
        <v>74</v>
      </c>
      <c r="AG219">
        <v>36</v>
      </c>
      <c r="AH219">
        <v>31</v>
      </c>
      <c r="AI219">
        <v>34</v>
      </c>
      <c r="AJ219">
        <v>0</v>
      </c>
      <c r="AK219">
        <v>7</v>
      </c>
      <c r="AL219" t="s">
        <v>74</v>
      </c>
      <c r="AM219" t="s">
        <v>74</v>
      </c>
      <c r="AN219" t="s">
        <v>74</v>
      </c>
      <c r="AO219" t="s">
        <v>9235</v>
      </c>
      <c r="AP219" t="s">
        <v>9236</v>
      </c>
      <c r="AQ219" t="s">
        <v>74</v>
      </c>
      <c r="AR219" t="s">
        <v>74</v>
      </c>
      <c r="AS219" t="s">
        <v>74</v>
      </c>
      <c r="AT219" t="s">
        <v>88</v>
      </c>
      <c r="AU219">
        <v>2000</v>
      </c>
      <c r="AV219">
        <v>10</v>
      </c>
      <c r="AW219">
        <v>6</v>
      </c>
      <c r="AX219" t="s">
        <v>74</v>
      </c>
      <c r="AY219" t="s">
        <v>74</v>
      </c>
      <c r="AZ219" t="s">
        <v>74</v>
      </c>
      <c r="BA219" t="s">
        <v>74</v>
      </c>
      <c r="BB219">
        <v>481</v>
      </c>
      <c r="BC219">
        <v>487</v>
      </c>
      <c r="BD219" t="s">
        <v>74</v>
      </c>
      <c r="BE219" t="s">
        <v>9237</v>
      </c>
      <c r="BF219" t="str">
        <f>HYPERLINK("http://dx.doi.org/10.1089/thy.2000.10.481","http://dx.doi.org/10.1089/thy.2000.10.481")</f>
        <v>http://dx.doi.org/10.1089/thy.2000.10.481</v>
      </c>
      <c r="BG219" t="s">
        <v>74</v>
      </c>
      <c r="BH219" t="s">
        <v>74</v>
      </c>
      <c r="BI219" t="s">
        <v>74</v>
      </c>
      <c r="BJ219" t="s">
        <v>1810</v>
      </c>
      <c r="BK219" t="s">
        <v>112</v>
      </c>
      <c r="BL219" t="s">
        <v>1810</v>
      </c>
      <c r="BM219" t="s">
        <v>74</v>
      </c>
      <c r="BN219">
        <v>10907991</v>
      </c>
      <c r="BO219" t="s">
        <v>74</v>
      </c>
      <c r="BP219" t="s">
        <v>74</v>
      </c>
      <c r="BQ219" t="s">
        <v>74</v>
      </c>
      <c r="BR219" t="s">
        <v>93</v>
      </c>
      <c r="BS219" t="s">
        <v>9238</v>
      </c>
      <c r="BT219" t="str">
        <f>HYPERLINK("https%3A%2F%2Fwww.webofscience.com%2Fwos%2Fwoscc%2Ffull-record%2FWOS:000087969800006","View Full Record in Web of Science")</f>
        <v>View Full Record in Web of Science</v>
      </c>
    </row>
    <row r="220" spans="1:72" x14ac:dyDescent="0.15">
      <c r="A220" t="s">
        <v>72</v>
      </c>
      <c r="B220" t="s">
        <v>10451</v>
      </c>
      <c r="C220" t="s">
        <v>74</v>
      </c>
      <c r="D220" t="s">
        <v>74</v>
      </c>
      <c r="E220" t="s">
        <v>74</v>
      </c>
      <c r="F220" t="s">
        <v>10451</v>
      </c>
      <c r="G220" t="s">
        <v>74</v>
      </c>
      <c r="H220" t="s">
        <v>74</v>
      </c>
      <c r="I220" t="s">
        <v>10452</v>
      </c>
      <c r="J220" t="s">
        <v>10453</v>
      </c>
      <c r="K220" t="s">
        <v>74</v>
      </c>
      <c r="L220" t="s">
        <v>74</v>
      </c>
      <c r="M220" t="s">
        <v>74</v>
      </c>
      <c r="N220" t="s">
        <v>78</v>
      </c>
      <c r="O220" t="s">
        <v>74</v>
      </c>
      <c r="P220" t="s">
        <v>74</v>
      </c>
      <c r="Q220" t="s">
        <v>74</v>
      </c>
      <c r="R220" t="s">
        <v>74</v>
      </c>
      <c r="S220" t="s">
        <v>74</v>
      </c>
      <c r="T220" t="s">
        <v>74</v>
      </c>
      <c r="U220" t="s">
        <v>10454</v>
      </c>
      <c r="V220" t="s">
        <v>10455</v>
      </c>
      <c r="W220" t="s">
        <v>10456</v>
      </c>
      <c r="X220" t="s">
        <v>10457</v>
      </c>
      <c r="Y220" t="s">
        <v>74</v>
      </c>
      <c r="Z220" t="s">
        <v>74</v>
      </c>
      <c r="AA220" t="s">
        <v>10458</v>
      </c>
      <c r="AB220" t="s">
        <v>10459</v>
      </c>
      <c r="AC220" t="s">
        <v>74</v>
      </c>
      <c r="AD220" t="s">
        <v>74</v>
      </c>
      <c r="AE220" t="s">
        <v>74</v>
      </c>
      <c r="AF220" t="s">
        <v>74</v>
      </c>
      <c r="AG220">
        <v>34</v>
      </c>
      <c r="AH220">
        <v>31</v>
      </c>
      <c r="AI220">
        <v>33</v>
      </c>
      <c r="AJ220">
        <v>0</v>
      </c>
      <c r="AK220">
        <v>0</v>
      </c>
      <c r="AL220" t="s">
        <v>74</v>
      </c>
      <c r="AM220" t="s">
        <v>74</v>
      </c>
      <c r="AN220" t="s">
        <v>74</v>
      </c>
      <c r="AO220" t="s">
        <v>10460</v>
      </c>
      <c r="AP220" t="s">
        <v>74</v>
      </c>
      <c r="AQ220" t="s">
        <v>74</v>
      </c>
      <c r="AR220" t="s">
        <v>74</v>
      </c>
      <c r="AS220" t="s">
        <v>74</v>
      </c>
      <c r="AT220" t="s">
        <v>955</v>
      </c>
      <c r="AU220">
        <v>1995</v>
      </c>
      <c r="AV220">
        <v>214</v>
      </c>
      <c r="AW220">
        <v>1</v>
      </c>
      <c r="AX220" t="s">
        <v>74</v>
      </c>
      <c r="AY220" t="s">
        <v>74</v>
      </c>
      <c r="AZ220" t="s">
        <v>74</v>
      </c>
      <c r="BA220" t="s">
        <v>74</v>
      </c>
      <c r="BB220">
        <v>177</v>
      </c>
      <c r="BC220">
        <v>188</v>
      </c>
      <c r="BD220" t="s">
        <v>74</v>
      </c>
      <c r="BE220" t="s">
        <v>10461</v>
      </c>
      <c r="BF220" t="str">
        <f>HYPERLINK("http://dx.doi.org/10.1006/viro.1995.9942","http://dx.doi.org/10.1006/viro.1995.9942")</f>
        <v>http://dx.doi.org/10.1006/viro.1995.9942</v>
      </c>
      <c r="BG220" t="s">
        <v>74</v>
      </c>
      <c r="BH220" t="s">
        <v>74</v>
      </c>
      <c r="BI220" t="s">
        <v>74</v>
      </c>
      <c r="BJ220" t="s">
        <v>401</v>
      </c>
      <c r="BK220" t="s">
        <v>112</v>
      </c>
      <c r="BL220" t="s">
        <v>401</v>
      </c>
      <c r="BM220" t="s">
        <v>74</v>
      </c>
      <c r="BN220">
        <v>8525613</v>
      </c>
      <c r="BO220" t="s">
        <v>74</v>
      </c>
      <c r="BP220" t="s">
        <v>74</v>
      </c>
      <c r="BQ220" t="s">
        <v>74</v>
      </c>
      <c r="BR220" t="s">
        <v>93</v>
      </c>
      <c r="BS220" t="s">
        <v>10462</v>
      </c>
      <c r="BT220" t="str">
        <f>HYPERLINK("https%3A%2F%2Fwww.webofscience.com%2Fwos%2Fwoscc%2Ffull-record%2FWOS:A1995TK27400020","View Full Record in Web of Science")</f>
        <v>View Full Record in Web of Science</v>
      </c>
    </row>
    <row r="221" spans="1:72" x14ac:dyDescent="0.15">
      <c r="A221" t="s">
        <v>72</v>
      </c>
      <c r="B221" t="s">
        <v>2260</v>
      </c>
      <c r="C221" t="s">
        <v>74</v>
      </c>
      <c r="D221" t="s">
        <v>74</v>
      </c>
      <c r="E221" t="s">
        <v>74</v>
      </c>
      <c r="F221" t="s">
        <v>2261</v>
      </c>
      <c r="G221" t="s">
        <v>74</v>
      </c>
      <c r="H221" t="s">
        <v>74</v>
      </c>
      <c r="I221" t="s">
        <v>2262</v>
      </c>
      <c r="J221" t="s">
        <v>2263</v>
      </c>
      <c r="K221" t="s">
        <v>74</v>
      </c>
      <c r="L221" t="s">
        <v>74</v>
      </c>
      <c r="M221" t="s">
        <v>74</v>
      </c>
      <c r="N221" t="s">
        <v>78</v>
      </c>
      <c r="O221" t="s">
        <v>74</v>
      </c>
      <c r="P221" t="s">
        <v>74</v>
      </c>
      <c r="Q221" t="s">
        <v>74</v>
      </c>
      <c r="R221" t="s">
        <v>74</v>
      </c>
      <c r="S221" t="s">
        <v>74</v>
      </c>
      <c r="T221" t="s">
        <v>2264</v>
      </c>
      <c r="U221" t="s">
        <v>2265</v>
      </c>
      <c r="V221" t="s">
        <v>2266</v>
      </c>
      <c r="W221" t="s">
        <v>2267</v>
      </c>
      <c r="X221" t="s">
        <v>2268</v>
      </c>
      <c r="Y221" t="s">
        <v>2269</v>
      </c>
      <c r="Z221" t="s">
        <v>2270</v>
      </c>
      <c r="AA221" t="s">
        <v>2271</v>
      </c>
      <c r="AB221" t="s">
        <v>2272</v>
      </c>
      <c r="AC221" t="s">
        <v>74</v>
      </c>
      <c r="AD221" t="s">
        <v>74</v>
      </c>
      <c r="AE221" t="s">
        <v>74</v>
      </c>
      <c r="AF221" t="s">
        <v>74</v>
      </c>
      <c r="AG221">
        <v>28</v>
      </c>
      <c r="AH221">
        <v>30</v>
      </c>
      <c r="AI221">
        <v>30</v>
      </c>
      <c r="AJ221">
        <v>2</v>
      </c>
      <c r="AK221">
        <v>7</v>
      </c>
      <c r="AL221" t="s">
        <v>74</v>
      </c>
      <c r="AM221" t="s">
        <v>74</v>
      </c>
      <c r="AN221" t="s">
        <v>74</v>
      </c>
      <c r="AO221" t="s">
        <v>2273</v>
      </c>
      <c r="AP221" t="s">
        <v>74</v>
      </c>
      <c r="AQ221" t="s">
        <v>74</v>
      </c>
      <c r="AR221" t="s">
        <v>74</v>
      </c>
      <c r="AS221" t="s">
        <v>74</v>
      </c>
      <c r="AT221" t="s">
        <v>2274</v>
      </c>
      <c r="AU221">
        <v>2018</v>
      </c>
      <c r="AV221">
        <v>9</v>
      </c>
      <c r="AW221" t="s">
        <v>74</v>
      </c>
      <c r="AX221" t="s">
        <v>74</v>
      </c>
      <c r="AY221" t="s">
        <v>74</v>
      </c>
      <c r="AZ221" t="s">
        <v>74</v>
      </c>
      <c r="BA221" t="s">
        <v>74</v>
      </c>
      <c r="BB221" t="s">
        <v>74</v>
      </c>
      <c r="BC221" t="s">
        <v>74</v>
      </c>
      <c r="BD221">
        <v>1463</v>
      </c>
      <c r="BE221" t="s">
        <v>2275</v>
      </c>
      <c r="BF221" t="str">
        <f>HYPERLINK("http://dx.doi.org/10.3389/fimmu.2018.01463","http://dx.doi.org/10.3389/fimmu.2018.01463")</f>
        <v>http://dx.doi.org/10.3389/fimmu.2018.01463</v>
      </c>
      <c r="BG221" t="s">
        <v>74</v>
      </c>
      <c r="BH221" t="s">
        <v>74</v>
      </c>
      <c r="BI221" t="s">
        <v>74</v>
      </c>
      <c r="BJ221" t="s">
        <v>2276</v>
      </c>
      <c r="BK221" t="s">
        <v>112</v>
      </c>
      <c r="BL221" t="s">
        <v>2276</v>
      </c>
      <c r="BM221" t="s">
        <v>74</v>
      </c>
      <c r="BN221">
        <v>29997623</v>
      </c>
      <c r="BO221" t="s">
        <v>74</v>
      </c>
      <c r="BP221" t="s">
        <v>74</v>
      </c>
      <c r="BQ221" t="s">
        <v>74</v>
      </c>
      <c r="BR221" t="s">
        <v>93</v>
      </c>
      <c r="BS221" t="s">
        <v>2277</v>
      </c>
      <c r="BT221" t="str">
        <f>HYPERLINK("https%3A%2F%2Fwww.webofscience.com%2Fwos%2Fwoscc%2Ffull-record%2FWOS:000436466800001","View Full Record in Web of Science")</f>
        <v>View Full Record in Web of Science</v>
      </c>
    </row>
    <row r="222" spans="1:72" x14ac:dyDescent="0.15">
      <c r="A222" t="s">
        <v>72</v>
      </c>
      <c r="B222" t="s">
        <v>7682</v>
      </c>
      <c r="C222" t="s">
        <v>74</v>
      </c>
      <c r="D222" t="s">
        <v>74</v>
      </c>
      <c r="E222" t="s">
        <v>74</v>
      </c>
      <c r="F222" t="s">
        <v>7683</v>
      </c>
      <c r="G222" t="s">
        <v>74</v>
      </c>
      <c r="H222" t="s">
        <v>74</v>
      </c>
      <c r="I222" t="s">
        <v>7684</v>
      </c>
      <c r="J222" t="s">
        <v>1828</v>
      </c>
      <c r="K222" t="s">
        <v>74</v>
      </c>
      <c r="L222" t="s">
        <v>74</v>
      </c>
      <c r="M222" t="s">
        <v>74</v>
      </c>
      <c r="N222" t="s">
        <v>78</v>
      </c>
      <c r="O222" t="s">
        <v>74</v>
      </c>
      <c r="P222" t="s">
        <v>74</v>
      </c>
      <c r="Q222" t="s">
        <v>74</v>
      </c>
      <c r="R222" t="s">
        <v>74</v>
      </c>
      <c r="S222" t="s">
        <v>74</v>
      </c>
      <c r="T222" t="s">
        <v>74</v>
      </c>
      <c r="U222" t="s">
        <v>7685</v>
      </c>
      <c r="V222" t="s">
        <v>7686</v>
      </c>
      <c r="W222" t="s">
        <v>7687</v>
      </c>
      <c r="X222" t="s">
        <v>7688</v>
      </c>
      <c r="Y222" t="s">
        <v>7689</v>
      </c>
      <c r="Z222" t="s">
        <v>7690</v>
      </c>
      <c r="AA222" t="s">
        <v>7691</v>
      </c>
      <c r="AB222" t="s">
        <v>7692</v>
      </c>
      <c r="AC222" t="s">
        <v>74</v>
      </c>
      <c r="AD222" t="s">
        <v>74</v>
      </c>
      <c r="AE222" t="s">
        <v>74</v>
      </c>
      <c r="AF222" t="s">
        <v>74</v>
      </c>
      <c r="AG222">
        <v>37</v>
      </c>
      <c r="AH222">
        <v>30</v>
      </c>
      <c r="AI222">
        <v>30</v>
      </c>
      <c r="AJ222">
        <v>0</v>
      </c>
      <c r="AK222">
        <v>44</v>
      </c>
      <c r="AL222" t="s">
        <v>74</v>
      </c>
      <c r="AM222" t="s">
        <v>74</v>
      </c>
      <c r="AN222" t="s">
        <v>74</v>
      </c>
      <c r="AO222" t="s">
        <v>1837</v>
      </c>
      <c r="AP222" t="s">
        <v>74</v>
      </c>
      <c r="AQ222" t="s">
        <v>74</v>
      </c>
      <c r="AR222" t="s">
        <v>74</v>
      </c>
      <c r="AS222" t="s">
        <v>74</v>
      </c>
      <c r="AT222" t="s">
        <v>7693</v>
      </c>
      <c r="AU222">
        <v>2017</v>
      </c>
      <c r="AV222">
        <v>7</v>
      </c>
      <c r="AW222" t="s">
        <v>74</v>
      </c>
      <c r="AX222" t="s">
        <v>74</v>
      </c>
      <c r="AY222" t="s">
        <v>74</v>
      </c>
      <c r="AZ222" t="s">
        <v>74</v>
      </c>
      <c r="BA222" t="s">
        <v>74</v>
      </c>
      <c r="BB222" t="s">
        <v>74</v>
      </c>
      <c r="BC222" t="s">
        <v>74</v>
      </c>
      <c r="BD222">
        <v>42741</v>
      </c>
      <c r="BE222" t="s">
        <v>7694</v>
      </c>
      <c r="BF222" t="str">
        <f>HYPERLINK("http://dx.doi.org/10.1038/srep42741","http://dx.doi.org/10.1038/srep42741")</f>
        <v>http://dx.doi.org/10.1038/srep42741</v>
      </c>
      <c r="BG222" t="s">
        <v>74</v>
      </c>
      <c r="BH222" t="s">
        <v>74</v>
      </c>
      <c r="BI222" t="s">
        <v>74</v>
      </c>
      <c r="BJ222" t="s">
        <v>545</v>
      </c>
      <c r="BK222" t="s">
        <v>112</v>
      </c>
      <c r="BL222" t="s">
        <v>546</v>
      </c>
      <c r="BM222" t="s">
        <v>74</v>
      </c>
      <c r="BN222">
        <v>28218293</v>
      </c>
      <c r="BO222" t="s">
        <v>74</v>
      </c>
      <c r="BP222" t="s">
        <v>74</v>
      </c>
      <c r="BQ222" t="s">
        <v>74</v>
      </c>
      <c r="BR222" t="s">
        <v>93</v>
      </c>
      <c r="BS222" t="s">
        <v>7695</v>
      </c>
      <c r="BT222" t="str">
        <f>HYPERLINK("https%3A%2F%2Fwww.webofscience.com%2Fwos%2Fwoscc%2Ffull-record%2FWOS:000394419800001","View Full Record in Web of Science")</f>
        <v>View Full Record in Web of Science</v>
      </c>
    </row>
    <row r="223" spans="1:72" x14ac:dyDescent="0.15">
      <c r="A223" t="s">
        <v>72</v>
      </c>
      <c r="B223" t="s">
        <v>9178</v>
      </c>
      <c r="C223" t="s">
        <v>74</v>
      </c>
      <c r="D223" t="s">
        <v>74</v>
      </c>
      <c r="E223" t="s">
        <v>74</v>
      </c>
      <c r="F223" t="s">
        <v>9179</v>
      </c>
      <c r="G223" t="s">
        <v>74</v>
      </c>
      <c r="H223" t="s">
        <v>74</v>
      </c>
      <c r="I223" t="s">
        <v>9180</v>
      </c>
      <c r="J223" t="s">
        <v>9181</v>
      </c>
      <c r="K223" t="s">
        <v>74</v>
      </c>
      <c r="L223" t="s">
        <v>74</v>
      </c>
      <c r="M223" t="s">
        <v>74</v>
      </c>
      <c r="N223" t="s">
        <v>78</v>
      </c>
      <c r="O223" t="s">
        <v>74</v>
      </c>
      <c r="P223" t="s">
        <v>74</v>
      </c>
      <c r="Q223" t="s">
        <v>74</v>
      </c>
      <c r="R223" t="s">
        <v>74</v>
      </c>
      <c r="S223" t="s">
        <v>74</v>
      </c>
      <c r="T223" t="s">
        <v>74</v>
      </c>
      <c r="U223" t="s">
        <v>9182</v>
      </c>
      <c r="V223" t="s">
        <v>9183</v>
      </c>
      <c r="W223" t="s">
        <v>9184</v>
      </c>
      <c r="X223" t="s">
        <v>9185</v>
      </c>
      <c r="Y223" t="s">
        <v>9186</v>
      </c>
      <c r="Z223" t="s">
        <v>9187</v>
      </c>
      <c r="AA223" t="s">
        <v>74</v>
      </c>
      <c r="AB223" t="s">
        <v>9188</v>
      </c>
      <c r="AC223" t="s">
        <v>74</v>
      </c>
      <c r="AD223" t="s">
        <v>74</v>
      </c>
      <c r="AE223" t="s">
        <v>74</v>
      </c>
      <c r="AF223" t="s">
        <v>74</v>
      </c>
      <c r="AG223">
        <v>57</v>
      </c>
      <c r="AH223">
        <v>30</v>
      </c>
      <c r="AI223">
        <v>30</v>
      </c>
      <c r="AJ223">
        <v>1</v>
      </c>
      <c r="AK223">
        <v>27</v>
      </c>
      <c r="AL223" t="s">
        <v>74</v>
      </c>
      <c r="AM223" t="s">
        <v>74</v>
      </c>
      <c r="AN223" t="s">
        <v>74</v>
      </c>
      <c r="AO223" t="s">
        <v>9189</v>
      </c>
      <c r="AP223" t="s">
        <v>9190</v>
      </c>
      <c r="AQ223" t="s">
        <v>74</v>
      </c>
      <c r="AR223" t="s">
        <v>74</v>
      </c>
      <c r="AS223" t="s">
        <v>74</v>
      </c>
      <c r="AT223" t="s">
        <v>88</v>
      </c>
      <c r="AU223">
        <v>2016</v>
      </c>
      <c r="AV223">
        <v>231</v>
      </c>
      <c r="AW223">
        <v>6</v>
      </c>
      <c r="AX223" t="s">
        <v>74</v>
      </c>
      <c r="AY223" t="s">
        <v>74</v>
      </c>
      <c r="AZ223" t="s">
        <v>74</v>
      </c>
      <c r="BA223" t="s">
        <v>74</v>
      </c>
      <c r="BB223">
        <v>1364</v>
      </c>
      <c r="BC223">
        <v>1374</v>
      </c>
      <c r="BD223" t="s">
        <v>74</v>
      </c>
      <c r="BE223" t="s">
        <v>9191</v>
      </c>
      <c r="BF223" t="str">
        <f>HYPERLINK("http://dx.doi.org/10.1002/jcp.25240","http://dx.doi.org/10.1002/jcp.25240")</f>
        <v>http://dx.doi.org/10.1002/jcp.25240</v>
      </c>
      <c r="BG223" t="s">
        <v>74</v>
      </c>
      <c r="BH223" t="s">
        <v>74</v>
      </c>
      <c r="BI223" t="s">
        <v>74</v>
      </c>
      <c r="BJ223" t="s">
        <v>4691</v>
      </c>
      <c r="BK223" t="s">
        <v>112</v>
      </c>
      <c r="BL223" t="s">
        <v>4691</v>
      </c>
      <c r="BM223" t="s">
        <v>74</v>
      </c>
      <c r="BN223">
        <v>26530043</v>
      </c>
      <c r="BO223" t="s">
        <v>74</v>
      </c>
      <c r="BP223" t="s">
        <v>74</v>
      </c>
      <c r="BQ223" t="s">
        <v>74</v>
      </c>
      <c r="BR223" t="s">
        <v>93</v>
      </c>
      <c r="BS223" t="s">
        <v>9192</v>
      </c>
      <c r="BT223" t="str">
        <f>HYPERLINK("https%3A%2F%2Fwww.webofscience.com%2Fwos%2Fwoscc%2Ffull-record%2FWOS:000370736600019","View Full Record in Web of Science")</f>
        <v>View Full Record in Web of Science</v>
      </c>
    </row>
    <row r="224" spans="1:72" x14ac:dyDescent="0.15">
      <c r="A224" t="s">
        <v>72</v>
      </c>
      <c r="B224" t="s">
        <v>6184</v>
      </c>
      <c r="C224" t="s">
        <v>74</v>
      </c>
      <c r="D224" t="s">
        <v>74</v>
      </c>
      <c r="E224" t="s">
        <v>74</v>
      </c>
      <c r="F224" t="s">
        <v>6185</v>
      </c>
      <c r="G224" t="s">
        <v>74</v>
      </c>
      <c r="H224" t="s">
        <v>74</v>
      </c>
      <c r="I224" t="s">
        <v>6186</v>
      </c>
      <c r="J224" t="s">
        <v>5293</v>
      </c>
      <c r="K224" t="s">
        <v>74</v>
      </c>
      <c r="L224" t="s">
        <v>74</v>
      </c>
      <c r="M224" t="s">
        <v>74</v>
      </c>
      <c r="N224" t="s">
        <v>78</v>
      </c>
      <c r="O224" t="s">
        <v>74</v>
      </c>
      <c r="P224" t="s">
        <v>74</v>
      </c>
      <c r="Q224" t="s">
        <v>74</v>
      </c>
      <c r="R224" t="s">
        <v>74</v>
      </c>
      <c r="S224" t="s">
        <v>74</v>
      </c>
      <c r="T224" t="s">
        <v>74</v>
      </c>
      <c r="U224" t="s">
        <v>6187</v>
      </c>
      <c r="V224" t="s">
        <v>6188</v>
      </c>
      <c r="W224" t="s">
        <v>6189</v>
      </c>
      <c r="X224" t="s">
        <v>6190</v>
      </c>
      <c r="Y224" t="s">
        <v>6191</v>
      </c>
      <c r="Z224" t="s">
        <v>6192</v>
      </c>
      <c r="AA224" t="s">
        <v>6193</v>
      </c>
      <c r="AB224" t="s">
        <v>6194</v>
      </c>
      <c r="AC224" t="s">
        <v>74</v>
      </c>
      <c r="AD224" t="s">
        <v>74</v>
      </c>
      <c r="AE224" t="s">
        <v>74</v>
      </c>
      <c r="AF224" t="s">
        <v>74</v>
      </c>
      <c r="AG224">
        <v>48</v>
      </c>
      <c r="AH224">
        <v>29</v>
      </c>
      <c r="AI224">
        <v>31</v>
      </c>
      <c r="AJ224">
        <v>3</v>
      </c>
      <c r="AK224">
        <v>27</v>
      </c>
      <c r="AL224" t="s">
        <v>74</v>
      </c>
      <c r="AM224" t="s">
        <v>74</v>
      </c>
      <c r="AN224" t="s">
        <v>74</v>
      </c>
      <c r="AO224" t="s">
        <v>5300</v>
      </c>
      <c r="AP224" t="s">
        <v>5301</v>
      </c>
      <c r="AQ224" t="s">
        <v>74</v>
      </c>
      <c r="AR224" t="s">
        <v>74</v>
      </c>
      <c r="AS224" t="s">
        <v>74</v>
      </c>
      <c r="AT224" t="s">
        <v>503</v>
      </c>
      <c r="AU224">
        <v>2020</v>
      </c>
      <c r="AV224">
        <v>26</v>
      </c>
      <c r="AW224">
        <v>13</v>
      </c>
      <c r="AX224" t="s">
        <v>74</v>
      </c>
      <c r="AY224" t="s">
        <v>74</v>
      </c>
      <c r="AZ224" t="s">
        <v>74</v>
      </c>
      <c r="BA224" t="s">
        <v>74</v>
      </c>
      <c r="BB224">
        <v>3248</v>
      </c>
      <c r="BC224">
        <v>3258</v>
      </c>
      <c r="BD224" t="s">
        <v>74</v>
      </c>
      <c r="BE224" t="s">
        <v>6195</v>
      </c>
      <c r="BF224" t="str">
        <f>HYPERLINK("http://dx.doi.org/10.1158/1078-0432.CCR-19-3313","http://dx.doi.org/10.1158/1078-0432.CCR-19-3313")</f>
        <v>http://dx.doi.org/10.1158/1078-0432.CCR-19-3313</v>
      </c>
      <c r="BG224" t="s">
        <v>74</v>
      </c>
      <c r="BH224" t="s">
        <v>74</v>
      </c>
      <c r="BI224" t="s">
        <v>74</v>
      </c>
      <c r="BJ224" t="s">
        <v>146</v>
      </c>
      <c r="BK224" t="s">
        <v>112</v>
      </c>
      <c r="BL224" t="s">
        <v>146</v>
      </c>
      <c r="BM224" t="s">
        <v>74</v>
      </c>
      <c r="BN224">
        <v>32299821</v>
      </c>
      <c r="BO224" t="s">
        <v>74</v>
      </c>
      <c r="BP224" t="s">
        <v>74</v>
      </c>
      <c r="BQ224" t="s">
        <v>74</v>
      </c>
      <c r="BR224" t="s">
        <v>93</v>
      </c>
      <c r="BS224" t="s">
        <v>6196</v>
      </c>
      <c r="BT224" t="str">
        <f>HYPERLINK("https%3A%2F%2Fwww.webofscience.com%2Fwos%2Fwoscc%2Ffull-record%2FWOS:000546016400021","View Full Record in Web of Science")</f>
        <v>View Full Record in Web of Science</v>
      </c>
    </row>
    <row r="225" spans="1:72" x14ac:dyDescent="0.15">
      <c r="A225" t="s">
        <v>72</v>
      </c>
      <c r="B225" t="s">
        <v>9239</v>
      </c>
      <c r="C225" t="s">
        <v>74</v>
      </c>
      <c r="D225" t="s">
        <v>74</v>
      </c>
      <c r="E225" t="s">
        <v>74</v>
      </c>
      <c r="F225" t="s">
        <v>9240</v>
      </c>
      <c r="G225" t="s">
        <v>74</v>
      </c>
      <c r="H225" t="s">
        <v>74</v>
      </c>
      <c r="I225" t="s">
        <v>9241</v>
      </c>
      <c r="J225" t="s">
        <v>2850</v>
      </c>
      <c r="K225" t="s">
        <v>74</v>
      </c>
      <c r="L225" t="s">
        <v>74</v>
      </c>
      <c r="M225" t="s">
        <v>74</v>
      </c>
      <c r="N225" t="s">
        <v>78</v>
      </c>
      <c r="O225" t="s">
        <v>74</v>
      </c>
      <c r="P225" t="s">
        <v>74</v>
      </c>
      <c r="Q225" t="s">
        <v>74</v>
      </c>
      <c r="R225" t="s">
        <v>74</v>
      </c>
      <c r="S225" t="s">
        <v>74</v>
      </c>
      <c r="T225" t="s">
        <v>74</v>
      </c>
      <c r="U225" t="s">
        <v>9242</v>
      </c>
      <c r="V225" t="s">
        <v>9243</v>
      </c>
      <c r="W225" t="s">
        <v>9244</v>
      </c>
      <c r="X225" t="s">
        <v>9245</v>
      </c>
      <c r="Y225" t="s">
        <v>9246</v>
      </c>
      <c r="Z225" t="s">
        <v>9247</v>
      </c>
      <c r="AA225" t="s">
        <v>9248</v>
      </c>
      <c r="AB225" t="s">
        <v>9249</v>
      </c>
      <c r="AC225" t="s">
        <v>74</v>
      </c>
      <c r="AD225" t="s">
        <v>74</v>
      </c>
      <c r="AE225" t="s">
        <v>74</v>
      </c>
      <c r="AF225" t="s">
        <v>74</v>
      </c>
      <c r="AG225">
        <v>64</v>
      </c>
      <c r="AH225">
        <v>29</v>
      </c>
      <c r="AI225">
        <v>29</v>
      </c>
      <c r="AJ225">
        <v>30</v>
      </c>
      <c r="AK225">
        <v>121</v>
      </c>
      <c r="AL225" t="s">
        <v>74</v>
      </c>
      <c r="AM225" t="s">
        <v>74</v>
      </c>
      <c r="AN225" t="s">
        <v>74</v>
      </c>
      <c r="AO225" t="s">
        <v>2859</v>
      </c>
      <c r="AP225" t="s">
        <v>74</v>
      </c>
      <c r="AQ225" t="s">
        <v>74</v>
      </c>
      <c r="AR225" t="s">
        <v>74</v>
      </c>
      <c r="AS225" t="s">
        <v>74</v>
      </c>
      <c r="AT225" t="s">
        <v>6088</v>
      </c>
      <c r="AU225">
        <v>2021</v>
      </c>
      <c r="AV225">
        <v>12</v>
      </c>
      <c r="AW225">
        <v>1</v>
      </c>
      <c r="AX225" t="s">
        <v>74</v>
      </c>
      <c r="AY225" t="s">
        <v>74</v>
      </c>
      <c r="AZ225" t="s">
        <v>74</v>
      </c>
      <c r="BA225" t="s">
        <v>74</v>
      </c>
      <c r="BB225" t="s">
        <v>74</v>
      </c>
      <c r="BC225" t="s">
        <v>74</v>
      </c>
      <c r="BD225">
        <v>3515</v>
      </c>
      <c r="BE225" t="s">
        <v>9250</v>
      </c>
      <c r="BF225" t="str">
        <f>HYPERLINK("http://dx.doi.org/10.1038/s41467-021-23497-y","http://dx.doi.org/10.1038/s41467-021-23497-y")</f>
        <v>http://dx.doi.org/10.1038/s41467-021-23497-y</v>
      </c>
      <c r="BG225" t="s">
        <v>74</v>
      </c>
      <c r="BH225" t="s">
        <v>74</v>
      </c>
      <c r="BI225" t="s">
        <v>74</v>
      </c>
      <c r="BJ225" t="s">
        <v>545</v>
      </c>
      <c r="BK225" t="s">
        <v>112</v>
      </c>
      <c r="BL225" t="s">
        <v>546</v>
      </c>
      <c r="BM225" t="s">
        <v>74</v>
      </c>
      <c r="BN225">
        <v>34112774</v>
      </c>
      <c r="BO225" t="s">
        <v>74</v>
      </c>
      <c r="BP225" t="s">
        <v>74</v>
      </c>
      <c r="BQ225" t="s">
        <v>74</v>
      </c>
      <c r="BR225" t="s">
        <v>93</v>
      </c>
      <c r="BS225" t="s">
        <v>9251</v>
      </c>
      <c r="BT225" t="str">
        <f>HYPERLINK("https%3A%2F%2Fwww.webofscience.com%2Fwos%2Fwoscc%2Ffull-record%2FWOS:000663747800005","View Full Record in Web of Science")</f>
        <v>View Full Record in Web of Science</v>
      </c>
    </row>
    <row r="226" spans="1:72" x14ac:dyDescent="0.15">
      <c r="A226" t="s">
        <v>72</v>
      </c>
      <c r="B226" t="s">
        <v>1389</v>
      </c>
      <c r="C226" t="s">
        <v>74</v>
      </c>
      <c r="D226" t="s">
        <v>74</v>
      </c>
      <c r="E226" t="s">
        <v>74</v>
      </c>
      <c r="F226" t="s">
        <v>1390</v>
      </c>
      <c r="G226" t="s">
        <v>74</v>
      </c>
      <c r="H226" t="s">
        <v>74</v>
      </c>
      <c r="I226" t="s">
        <v>1391</v>
      </c>
      <c r="J226" t="s">
        <v>1392</v>
      </c>
      <c r="K226" t="s">
        <v>74</v>
      </c>
      <c r="L226" t="s">
        <v>74</v>
      </c>
      <c r="M226" t="s">
        <v>74</v>
      </c>
      <c r="N226" t="s">
        <v>752</v>
      </c>
      <c r="O226" t="s">
        <v>1393</v>
      </c>
      <c r="P226">
        <v>2019</v>
      </c>
      <c r="Q226" t="s">
        <v>1394</v>
      </c>
      <c r="R226" t="s">
        <v>74</v>
      </c>
      <c r="S226" t="s">
        <v>74</v>
      </c>
      <c r="T226" t="s">
        <v>1395</v>
      </c>
      <c r="U226" t="s">
        <v>1396</v>
      </c>
      <c r="V226" t="s">
        <v>1397</v>
      </c>
      <c r="W226" t="s">
        <v>1398</v>
      </c>
      <c r="X226" t="s">
        <v>1399</v>
      </c>
      <c r="Y226" t="s">
        <v>1400</v>
      </c>
      <c r="Z226" t="s">
        <v>1401</v>
      </c>
      <c r="AA226" t="s">
        <v>1402</v>
      </c>
      <c r="AB226" t="s">
        <v>1403</v>
      </c>
      <c r="AC226" t="s">
        <v>74</v>
      </c>
      <c r="AD226" t="s">
        <v>74</v>
      </c>
      <c r="AE226" t="s">
        <v>74</v>
      </c>
      <c r="AF226" t="s">
        <v>74</v>
      </c>
      <c r="AG226">
        <v>89</v>
      </c>
      <c r="AH226">
        <v>28</v>
      </c>
      <c r="AI226">
        <v>28</v>
      </c>
      <c r="AJ226">
        <v>4</v>
      </c>
      <c r="AK226">
        <v>18</v>
      </c>
      <c r="AL226" t="s">
        <v>74</v>
      </c>
      <c r="AM226" t="s">
        <v>74</v>
      </c>
      <c r="AN226" t="s">
        <v>74</v>
      </c>
      <c r="AO226" t="s">
        <v>1404</v>
      </c>
      <c r="AP226" t="s">
        <v>1405</v>
      </c>
      <c r="AQ226" t="s">
        <v>74</v>
      </c>
      <c r="AR226" t="s">
        <v>74</v>
      </c>
      <c r="AS226" t="s">
        <v>74</v>
      </c>
      <c r="AT226" t="s">
        <v>503</v>
      </c>
      <c r="AU226">
        <v>2019</v>
      </c>
      <c r="AV226">
        <v>593</v>
      </c>
      <c r="AW226">
        <v>13</v>
      </c>
      <c r="AX226" t="s">
        <v>74</v>
      </c>
      <c r="AY226" t="s">
        <v>74</v>
      </c>
      <c r="AZ226" t="s">
        <v>1075</v>
      </c>
      <c r="BA226" t="s">
        <v>74</v>
      </c>
      <c r="BB226">
        <v>1580</v>
      </c>
      <c r="BC226">
        <v>1597</v>
      </c>
      <c r="BD226" t="s">
        <v>74</v>
      </c>
      <c r="BE226" t="s">
        <v>1406</v>
      </c>
      <c r="BF226" t="str">
        <f>HYPERLINK("http://dx.doi.org/10.1002/1873-3468.13487","http://dx.doi.org/10.1002/1873-3468.13487")</f>
        <v>http://dx.doi.org/10.1002/1873-3468.13487</v>
      </c>
      <c r="BG226" t="s">
        <v>74</v>
      </c>
      <c r="BH226" t="s">
        <v>74</v>
      </c>
      <c r="BI226" t="s">
        <v>74</v>
      </c>
      <c r="BJ226" t="s">
        <v>1407</v>
      </c>
      <c r="BK226" t="s">
        <v>1408</v>
      </c>
      <c r="BL226" t="s">
        <v>1407</v>
      </c>
      <c r="BM226" t="s">
        <v>74</v>
      </c>
      <c r="BN226">
        <v>31198995</v>
      </c>
      <c r="BO226" t="s">
        <v>74</v>
      </c>
      <c r="BP226" t="s">
        <v>74</v>
      </c>
      <c r="BQ226" t="s">
        <v>74</v>
      </c>
      <c r="BR226" t="s">
        <v>93</v>
      </c>
      <c r="BS226" t="s">
        <v>1409</v>
      </c>
      <c r="BT226" t="str">
        <f>HYPERLINK("https%3A%2F%2Fwww.webofscience.com%2Fwos%2Fwoscc%2Ffull-record%2FWOS:000477916000014","View Full Record in Web of Science")</f>
        <v>View Full Record in Web of Science</v>
      </c>
    </row>
    <row r="227" spans="1:72" x14ac:dyDescent="0.15">
      <c r="A227" t="s">
        <v>72</v>
      </c>
      <c r="B227" t="s">
        <v>4004</v>
      </c>
      <c r="C227" t="s">
        <v>74</v>
      </c>
      <c r="D227" t="s">
        <v>74</v>
      </c>
      <c r="E227" t="s">
        <v>74</v>
      </c>
      <c r="F227" t="s">
        <v>4005</v>
      </c>
      <c r="G227" t="s">
        <v>74</v>
      </c>
      <c r="H227" t="s">
        <v>74</v>
      </c>
      <c r="I227" t="s">
        <v>4006</v>
      </c>
      <c r="J227" t="s">
        <v>4007</v>
      </c>
      <c r="K227" t="s">
        <v>74</v>
      </c>
      <c r="L227" t="s">
        <v>74</v>
      </c>
      <c r="M227" t="s">
        <v>74</v>
      </c>
      <c r="N227" t="s">
        <v>78</v>
      </c>
      <c r="O227" t="s">
        <v>74</v>
      </c>
      <c r="P227" t="s">
        <v>74</v>
      </c>
      <c r="Q227" t="s">
        <v>74</v>
      </c>
      <c r="R227" t="s">
        <v>74</v>
      </c>
      <c r="S227" t="s">
        <v>74</v>
      </c>
      <c r="T227" t="s">
        <v>4008</v>
      </c>
      <c r="U227" t="s">
        <v>4009</v>
      </c>
      <c r="V227" t="s">
        <v>4010</v>
      </c>
      <c r="W227" t="s">
        <v>4011</v>
      </c>
      <c r="X227" t="s">
        <v>4012</v>
      </c>
      <c r="Y227" t="s">
        <v>1924</v>
      </c>
      <c r="Z227" t="s">
        <v>1925</v>
      </c>
      <c r="AA227" t="s">
        <v>4013</v>
      </c>
      <c r="AB227" t="s">
        <v>4014</v>
      </c>
      <c r="AC227" t="s">
        <v>74</v>
      </c>
      <c r="AD227" t="s">
        <v>74</v>
      </c>
      <c r="AE227" t="s">
        <v>74</v>
      </c>
      <c r="AF227" t="s">
        <v>74</v>
      </c>
      <c r="AG227">
        <v>216</v>
      </c>
      <c r="AH227">
        <v>28</v>
      </c>
      <c r="AI227">
        <v>28</v>
      </c>
      <c r="AJ227">
        <v>1</v>
      </c>
      <c r="AK227">
        <v>32</v>
      </c>
      <c r="AL227" t="s">
        <v>74</v>
      </c>
      <c r="AM227" t="s">
        <v>74</v>
      </c>
      <c r="AN227" t="s">
        <v>74</v>
      </c>
      <c r="AO227" t="s">
        <v>4015</v>
      </c>
      <c r="AP227" t="s">
        <v>4016</v>
      </c>
      <c r="AQ227" t="s">
        <v>74</v>
      </c>
      <c r="AR227" t="s">
        <v>74</v>
      </c>
      <c r="AS227" t="s">
        <v>74</v>
      </c>
      <c r="AT227" t="s">
        <v>171</v>
      </c>
      <c r="AU227">
        <v>2016</v>
      </c>
      <c r="AV227">
        <v>73</v>
      </c>
      <c r="AW227">
        <v>23</v>
      </c>
      <c r="AX227" t="s">
        <v>74</v>
      </c>
      <c r="AY227" t="s">
        <v>74</v>
      </c>
      <c r="AZ227" t="s">
        <v>74</v>
      </c>
      <c r="BA227" t="s">
        <v>74</v>
      </c>
      <c r="BB227">
        <v>4355</v>
      </c>
      <c r="BC227">
        <v>4381</v>
      </c>
      <c r="BD227" t="s">
        <v>74</v>
      </c>
      <c r="BE227" t="s">
        <v>4017</v>
      </c>
      <c r="BF227" t="str">
        <f>HYPERLINK("http://dx.doi.org/10.1007/s00018-016-2370-3","http://dx.doi.org/10.1007/s00018-016-2370-3")</f>
        <v>http://dx.doi.org/10.1007/s00018-016-2370-3</v>
      </c>
      <c r="BG227" t="s">
        <v>74</v>
      </c>
      <c r="BH227" t="s">
        <v>74</v>
      </c>
      <c r="BI227" t="s">
        <v>74</v>
      </c>
      <c r="BJ227" t="s">
        <v>1493</v>
      </c>
      <c r="BK227" t="s">
        <v>112</v>
      </c>
      <c r="BL227" t="s">
        <v>1493</v>
      </c>
      <c r="BM227" t="s">
        <v>74</v>
      </c>
      <c r="BN227">
        <v>27652382</v>
      </c>
      <c r="BO227" t="s">
        <v>74</v>
      </c>
      <c r="BP227" t="s">
        <v>74</v>
      </c>
      <c r="BQ227" t="s">
        <v>74</v>
      </c>
      <c r="BR227" t="s">
        <v>93</v>
      </c>
      <c r="BS227" t="s">
        <v>4018</v>
      </c>
      <c r="BT227" t="str">
        <f>HYPERLINK("https%3A%2F%2Fwww.webofscience.com%2Fwos%2Fwoscc%2Ffull-record%2FWOS:000386696300001","View Full Record in Web of Science")</f>
        <v>View Full Record in Web of Science</v>
      </c>
    </row>
    <row r="228" spans="1:72" x14ac:dyDescent="0.15">
      <c r="A228" t="s">
        <v>72</v>
      </c>
      <c r="B228" t="s">
        <v>4606</v>
      </c>
      <c r="C228" t="s">
        <v>74</v>
      </c>
      <c r="D228" t="s">
        <v>74</v>
      </c>
      <c r="E228" t="s">
        <v>74</v>
      </c>
      <c r="F228" t="s">
        <v>4607</v>
      </c>
      <c r="G228" t="s">
        <v>74</v>
      </c>
      <c r="H228" t="s">
        <v>74</v>
      </c>
      <c r="I228" t="s">
        <v>4608</v>
      </c>
      <c r="J228" t="s">
        <v>860</v>
      </c>
      <c r="K228" t="s">
        <v>74</v>
      </c>
      <c r="L228" t="s">
        <v>74</v>
      </c>
      <c r="M228" t="s">
        <v>74</v>
      </c>
      <c r="N228" t="s">
        <v>78</v>
      </c>
      <c r="O228" t="s">
        <v>74</v>
      </c>
      <c r="P228" t="s">
        <v>74</v>
      </c>
      <c r="Q228" t="s">
        <v>74</v>
      </c>
      <c r="R228" t="s">
        <v>74</v>
      </c>
      <c r="S228" t="s">
        <v>74</v>
      </c>
      <c r="T228" t="s">
        <v>4609</v>
      </c>
      <c r="U228" t="s">
        <v>4610</v>
      </c>
      <c r="V228" t="s">
        <v>4611</v>
      </c>
      <c r="W228" t="s">
        <v>4612</v>
      </c>
      <c r="X228" t="s">
        <v>4613</v>
      </c>
      <c r="Y228" t="s">
        <v>4614</v>
      </c>
      <c r="Z228" t="s">
        <v>4615</v>
      </c>
      <c r="AA228" t="s">
        <v>74</v>
      </c>
      <c r="AB228" t="s">
        <v>74</v>
      </c>
      <c r="AC228" t="s">
        <v>74</v>
      </c>
      <c r="AD228" t="s">
        <v>74</v>
      </c>
      <c r="AE228" t="s">
        <v>74</v>
      </c>
      <c r="AF228" t="s">
        <v>74</v>
      </c>
      <c r="AG228">
        <v>58</v>
      </c>
      <c r="AH228">
        <v>28</v>
      </c>
      <c r="AI228">
        <v>30</v>
      </c>
      <c r="AJ228">
        <v>0</v>
      </c>
      <c r="AK228">
        <v>10</v>
      </c>
      <c r="AL228" t="s">
        <v>74</v>
      </c>
      <c r="AM228" t="s">
        <v>74</v>
      </c>
      <c r="AN228" t="s">
        <v>74</v>
      </c>
      <c r="AO228" t="s">
        <v>868</v>
      </c>
      <c r="AP228" t="s">
        <v>869</v>
      </c>
      <c r="AQ228" t="s">
        <v>74</v>
      </c>
      <c r="AR228" t="s">
        <v>74</v>
      </c>
      <c r="AS228" t="s">
        <v>74</v>
      </c>
      <c r="AT228" t="s">
        <v>1111</v>
      </c>
      <c r="AU228">
        <v>2017</v>
      </c>
      <c r="AV228">
        <v>13</v>
      </c>
      <c r="AW228">
        <v>5</v>
      </c>
      <c r="AX228" t="s">
        <v>74</v>
      </c>
      <c r="AY228" t="s">
        <v>74</v>
      </c>
      <c r="AZ228" t="s">
        <v>74</v>
      </c>
      <c r="BA228" t="s">
        <v>74</v>
      </c>
      <c r="BB228">
        <v>3608</v>
      </c>
      <c r="BC228">
        <v>3616</v>
      </c>
      <c r="BD228" t="s">
        <v>74</v>
      </c>
      <c r="BE228" t="s">
        <v>4616</v>
      </c>
      <c r="BF228" t="str">
        <f>HYPERLINK("http://dx.doi.org/10.3892/ol.2017.5889","http://dx.doi.org/10.3892/ol.2017.5889")</f>
        <v>http://dx.doi.org/10.3892/ol.2017.5889</v>
      </c>
      <c r="BG228" t="s">
        <v>74</v>
      </c>
      <c r="BH228" t="s">
        <v>74</v>
      </c>
      <c r="BI228" t="s">
        <v>74</v>
      </c>
      <c r="BJ228" t="s">
        <v>146</v>
      </c>
      <c r="BK228" t="s">
        <v>112</v>
      </c>
      <c r="BL228" t="s">
        <v>146</v>
      </c>
      <c r="BM228" t="s">
        <v>74</v>
      </c>
      <c r="BN228">
        <v>28521461</v>
      </c>
      <c r="BO228" t="s">
        <v>74</v>
      </c>
      <c r="BP228" t="s">
        <v>74</v>
      </c>
      <c r="BQ228" t="s">
        <v>74</v>
      </c>
      <c r="BR228" t="s">
        <v>93</v>
      </c>
      <c r="BS228" t="s">
        <v>4617</v>
      </c>
      <c r="BT228" t="str">
        <f>HYPERLINK("https%3A%2F%2Fwww.webofscience.com%2Fwos%2Fwoscc%2Ffull-record%2FWOS:000401129800103","View Full Record in Web of Science")</f>
        <v>View Full Record in Web of Science</v>
      </c>
    </row>
    <row r="229" spans="1:72" x14ac:dyDescent="0.15">
      <c r="A229" t="s">
        <v>72</v>
      </c>
      <c r="B229" t="s">
        <v>5864</v>
      </c>
      <c r="C229" t="s">
        <v>74</v>
      </c>
      <c r="D229" t="s">
        <v>74</v>
      </c>
      <c r="E229" t="s">
        <v>74</v>
      </c>
      <c r="F229" t="s">
        <v>5865</v>
      </c>
      <c r="G229" t="s">
        <v>74</v>
      </c>
      <c r="H229" t="s">
        <v>74</v>
      </c>
      <c r="I229" t="s">
        <v>5866</v>
      </c>
      <c r="J229" t="s">
        <v>5867</v>
      </c>
      <c r="K229" t="s">
        <v>74</v>
      </c>
      <c r="L229" t="s">
        <v>74</v>
      </c>
      <c r="M229" t="s">
        <v>74</v>
      </c>
      <c r="N229" t="s">
        <v>78</v>
      </c>
      <c r="O229" t="s">
        <v>74</v>
      </c>
      <c r="P229" t="s">
        <v>74</v>
      </c>
      <c r="Q229" t="s">
        <v>74</v>
      </c>
      <c r="R229" t="s">
        <v>74</v>
      </c>
      <c r="S229" t="s">
        <v>74</v>
      </c>
      <c r="T229" t="s">
        <v>5868</v>
      </c>
      <c r="U229" t="s">
        <v>5869</v>
      </c>
      <c r="V229" t="s">
        <v>5870</v>
      </c>
      <c r="W229" t="s">
        <v>5871</v>
      </c>
      <c r="X229" t="s">
        <v>5872</v>
      </c>
      <c r="Y229" t="s">
        <v>5873</v>
      </c>
      <c r="Z229" t="s">
        <v>5874</v>
      </c>
      <c r="AA229" t="s">
        <v>5875</v>
      </c>
      <c r="AB229" t="s">
        <v>5876</v>
      </c>
      <c r="AC229" t="s">
        <v>74</v>
      </c>
      <c r="AD229" t="s">
        <v>74</v>
      </c>
      <c r="AE229" t="s">
        <v>74</v>
      </c>
      <c r="AF229" t="s">
        <v>74</v>
      </c>
      <c r="AG229">
        <v>23</v>
      </c>
      <c r="AH229">
        <v>28</v>
      </c>
      <c r="AI229">
        <v>31</v>
      </c>
      <c r="AJ229">
        <v>1</v>
      </c>
      <c r="AK229">
        <v>22</v>
      </c>
      <c r="AL229" t="s">
        <v>74</v>
      </c>
      <c r="AM229" t="s">
        <v>74</v>
      </c>
      <c r="AN229" t="s">
        <v>74</v>
      </c>
      <c r="AO229" t="s">
        <v>5877</v>
      </c>
      <c r="AP229" t="s">
        <v>5878</v>
      </c>
      <c r="AQ229" t="s">
        <v>74</v>
      </c>
      <c r="AR229" t="s">
        <v>74</v>
      </c>
      <c r="AS229" t="s">
        <v>74</v>
      </c>
      <c r="AT229" t="s">
        <v>4603</v>
      </c>
      <c r="AU229">
        <v>2017</v>
      </c>
      <c r="AV229">
        <v>14</v>
      </c>
      <c r="AW229" t="s">
        <v>74</v>
      </c>
      <c r="AX229" t="s">
        <v>74</v>
      </c>
      <c r="AY229" t="s">
        <v>74</v>
      </c>
      <c r="AZ229" t="s">
        <v>74</v>
      </c>
      <c r="BA229" t="s">
        <v>74</v>
      </c>
      <c r="BB229" t="s">
        <v>74</v>
      </c>
      <c r="BC229" t="s">
        <v>74</v>
      </c>
      <c r="BD229">
        <v>21</v>
      </c>
      <c r="BE229" t="s">
        <v>5879</v>
      </c>
      <c r="BF229" t="str">
        <f>HYPERLINK("http://dx.doi.org/10.1186/s12014-017-9156-y","http://dx.doi.org/10.1186/s12014-017-9156-y")</f>
        <v>http://dx.doi.org/10.1186/s12014-017-9156-y</v>
      </c>
      <c r="BG229" t="s">
        <v>74</v>
      </c>
      <c r="BH229" t="s">
        <v>74</v>
      </c>
      <c r="BI229" t="s">
        <v>74</v>
      </c>
      <c r="BJ229" t="s">
        <v>90</v>
      </c>
      <c r="BK229" t="s">
        <v>112</v>
      </c>
      <c r="BL229" t="s">
        <v>92</v>
      </c>
      <c r="BM229" t="s">
        <v>74</v>
      </c>
      <c r="BN229">
        <v>28592925</v>
      </c>
      <c r="BO229" t="s">
        <v>74</v>
      </c>
      <c r="BP229" t="s">
        <v>74</v>
      </c>
      <c r="BQ229" t="s">
        <v>74</v>
      </c>
      <c r="BR229" t="s">
        <v>93</v>
      </c>
      <c r="BS229" t="s">
        <v>5880</v>
      </c>
      <c r="BT229" t="str">
        <f>HYPERLINK("https%3A%2F%2Fwww.webofscience.com%2Fwos%2Fwoscc%2Ffull-record%2FWOS:000403046200001","View Full Record in Web of Science")</f>
        <v>View Full Record in Web of Science</v>
      </c>
    </row>
    <row r="230" spans="1:72" x14ac:dyDescent="0.15">
      <c r="A230" t="s">
        <v>72</v>
      </c>
      <c r="B230" t="s">
        <v>6002</v>
      </c>
      <c r="C230" t="s">
        <v>74</v>
      </c>
      <c r="D230" t="s">
        <v>74</v>
      </c>
      <c r="E230" t="s">
        <v>74</v>
      </c>
      <c r="F230" t="s">
        <v>6003</v>
      </c>
      <c r="G230" t="s">
        <v>74</v>
      </c>
      <c r="H230" t="s">
        <v>74</v>
      </c>
      <c r="I230" t="s">
        <v>6004</v>
      </c>
      <c r="J230" t="s">
        <v>6005</v>
      </c>
      <c r="K230" t="s">
        <v>74</v>
      </c>
      <c r="L230" t="s">
        <v>74</v>
      </c>
      <c r="M230" t="s">
        <v>74</v>
      </c>
      <c r="N230" t="s">
        <v>78</v>
      </c>
      <c r="O230" t="s">
        <v>74</v>
      </c>
      <c r="P230" t="s">
        <v>74</v>
      </c>
      <c r="Q230" t="s">
        <v>74</v>
      </c>
      <c r="R230" t="s">
        <v>74</v>
      </c>
      <c r="S230" t="s">
        <v>74</v>
      </c>
      <c r="T230" t="s">
        <v>74</v>
      </c>
      <c r="U230" t="s">
        <v>6006</v>
      </c>
      <c r="V230" t="s">
        <v>6007</v>
      </c>
      <c r="W230" t="s">
        <v>6008</v>
      </c>
      <c r="X230" t="s">
        <v>6009</v>
      </c>
      <c r="Y230" t="s">
        <v>6010</v>
      </c>
      <c r="Z230" t="s">
        <v>6011</v>
      </c>
      <c r="AA230" t="s">
        <v>6012</v>
      </c>
      <c r="AB230" t="s">
        <v>6013</v>
      </c>
      <c r="AC230" t="s">
        <v>74</v>
      </c>
      <c r="AD230" t="s">
        <v>74</v>
      </c>
      <c r="AE230" t="s">
        <v>74</v>
      </c>
      <c r="AF230" t="s">
        <v>74</v>
      </c>
      <c r="AG230">
        <v>45</v>
      </c>
      <c r="AH230">
        <v>28</v>
      </c>
      <c r="AI230">
        <v>29</v>
      </c>
      <c r="AJ230">
        <v>0</v>
      </c>
      <c r="AK230">
        <v>7</v>
      </c>
      <c r="AL230" t="s">
        <v>74</v>
      </c>
      <c r="AM230" t="s">
        <v>74</v>
      </c>
      <c r="AN230" t="s">
        <v>74</v>
      </c>
      <c r="AO230" t="s">
        <v>6014</v>
      </c>
      <c r="AP230" t="s">
        <v>6015</v>
      </c>
      <c r="AQ230" t="s">
        <v>74</v>
      </c>
      <c r="AR230" t="s">
        <v>74</v>
      </c>
      <c r="AS230" t="s">
        <v>74</v>
      </c>
      <c r="AT230" t="s">
        <v>129</v>
      </c>
      <c r="AU230">
        <v>2020</v>
      </c>
      <c r="AV230">
        <v>16</v>
      </c>
      <c r="AW230">
        <v>4</v>
      </c>
      <c r="AX230" t="s">
        <v>74</v>
      </c>
      <c r="AY230" t="s">
        <v>74</v>
      </c>
      <c r="AZ230" t="s">
        <v>74</v>
      </c>
      <c r="BA230" t="s">
        <v>74</v>
      </c>
      <c r="BB230" t="s">
        <v>74</v>
      </c>
      <c r="BC230" t="s">
        <v>74</v>
      </c>
      <c r="BD230" t="s">
        <v>6016</v>
      </c>
      <c r="BE230" t="s">
        <v>6017</v>
      </c>
      <c r="BF230" t="str">
        <f>HYPERLINK("http://dx.doi.org/10.1371/journal.ppat.1008474","http://dx.doi.org/10.1371/journal.ppat.1008474")</f>
        <v>http://dx.doi.org/10.1371/journal.ppat.1008474</v>
      </c>
      <c r="BG230" t="s">
        <v>74</v>
      </c>
      <c r="BH230" t="s">
        <v>74</v>
      </c>
      <c r="BI230" t="s">
        <v>74</v>
      </c>
      <c r="BJ230" t="s">
        <v>6018</v>
      </c>
      <c r="BK230" t="s">
        <v>112</v>
      </c>
      <c r="BL230" t="s">
        <v>6018</v>
      </c>
      <c r="BM230" t="s">
        <v>74</v>
      </c>
      <c r="BN230">
        <v>32315358</v>
      </c>
      <c r="BO230" t="s">
        <v>74</v>
      </c>
      <c r="BP230" t="s">
        <v>74</v>
      </c>
      <c r="BQ230" t="s">
        <v>74</v>
      </c>
      <c r="BR230" t="s">
        <v>93</v>
      </c>
      <c r="BS230" t="s">
        <v>6019</v>
      </c>
      <c r="BT230" t="str">
        <f>HYPERLINK("https%3A%2F%2Fwww.webofscience.com%2Fwos%2Fwoscc%2Ffull-record%2FWOS:000531365400038","View Full Record in Web of Science")</f>
        <v>View Full Record in Web of Science</v>
      </c>
    </row>
    <row r="231" spans="1:72" x14ac:dyDescent="0.15">
      <c r="A231" t="s">
        <v>72</v>
      </c>
      <c r="B231" t="s">
        <v>7668</v>
      </c>
      <c r="C231" t="s">
        <v>74</v>
      </c>
      <c r="D231" t="s">
        <v>74</v>
      </c>
      <c r="E231" t="s">
        <v>74</v>
      </c>
      <c r="F231" t="s">
        <v>7669</v>
      </c>
      <c r="G231" t="s">
        <v>74</v>
      </c>
      <c r="H231" t="s">
        <v>74</v>
      </c>
      <c r="I231" t="s">
        <v>7670</v>
      </c>
      <c r="J231" t="s">
        <v>667</v>
      </c>
      <c r="K231" t="s">
        <v>74</v>
      </c>
      <c r="L231" t="s">
        <v>74</v>
      </c>
      <c r="M231" t="s">
        <v>74</v>
      </c>
      <c r="N231" t="s">
        <v>78</v>
      </c>
      <c r="O231" t="s">
        <v>74</v>
      </c>
      <c r="P231" t="s">
        <v>74</v>
      </c>
      <c r="Q231" t="s">
        <v>74</v>
      </c>
      <c r="R231" t="s">
        <v>74</v>
      </c>
      <c r="S231" t="s">
        <v>74</v>
      </c>
      <c r="T231" t="s">
        <v>7671</v>
      </c>
      <c r="U231" t="s">
        <v>7672</v>
      </c>
      <c r="V231" t="s">
        <v>7673</v>
      </c>
      <c r="W231" t="s">
        <v>7674</v>
      </c>
      <c r="X231" t="s">
        <v>7675</v>
      </c>
      <c r="Y231" t="s">
        <v>7676</v>
      </c>
      <c r="Z231" t="s">
        <v>7677</v>
      </c>
      <c r="AA231" t="s">
        <v>7678</v>
      </c>
      <c r="AB231" t="s">
        <v>7679</v>
      </c>
      <c r="AC231" t="s">
        <v>74</v>
      </c>
      <c r="AD231" t="s">
        <v>74</v>
      </c>
      <c r="AE231" t="s">
        <v>74</v>
      </c>
      <c r="AF231" t="s">
        <v>74</v>
      </c>
      <c r="AG231">
        <v>35</v>
      </c>
      <c r="AH231">
        <v>28</v>
      </c>
      <c r="AI231">
        <v>28</v>
      </c>
      <c r="AJ231">
        <v>0</v>
      </c>
      <c r="AK231">
        <v>3</v>
      </c>
      <c r="AL231" t="s">
        <v>74</v>
      </c>
      <c r="AM231" t="s">
        <v>74</v>
      </c>
      <c r="AN231" t="s">
        <v>74</v>
      </c>
      <c r="AO231" t="s">
        <v>74</v>
      </c>
      <c r="AP231" t="s">
        <v>677</v>
      </c>
      <c r="AQ231" t="s">
        <v>74</v>
      </c>
      <c r="AR231" t="s">
        <v>74</v>
      </c>
      <c r="AS231" t="s">
        <v>74</v>
      </c>
      <c r="AT231" t="s">
        <v>129</v>
      </c>
      <c r="AU231">
        <v>2016</v>
      </c>
      <c r="AV231">
        <v>17</v>
      </c>
      <c r="AW231">
        <v>4</v>
      </c>
      <c r="AX231" t="s">
        <v>74</v>
      </c>
      <c r="AY231" t="s">
        <v>74</v>
      </c>
      <c r="AZ231" t="s">
        <v>74</v>
      </c>
      <c r="BA231" t="s">
        <v>74</v>
      </c>
      <c r="BB231" t="s">
        <v>74</v>
      </c>
      <c r="BC231" t="s">
        <v>74</v>
      </c>
      <c r="BD231">
        <v>570</v>
      </c>
      <c r="BE231" t="s">
        <v>7680</v>
      </c>
      <c r="BF231" t="str">
        <f>HYPERLINK("http://dx.doi.org/10.3390/ijms17040570","http://dx.doi.org/10.3390/ijms17040570")</f>
        <v>http://dx.doi.org/10.3390/ijms17040570</v>
      </c>
      <c r="BG231" t="s">
        <v>74</v>
      </c>
      <c r="BH231" t="s">
        <v>74</v>
      </c>
      <c r="BI231" t="s">
        <v>74</v>
      </c>
      <c r="BJ231" t="s">
        <v>680</v>
      </c>
      <c r="BK231" t="s">
        <v>112</v>
      </c>
      <c r="BL231" t="s">
        <v>681</v>
      </c>
      <c r="BM231" t="s">
        <v>74</v>
      </c>
      <c r="BN231">
        <v>27092489</v>
      </c>
      <c r="BO231" t="s">
        <v>74</v>
      </c>
      <c r="BP231" t="s">
        <v>74</v>
      </c>
      <c r="BQ231" t="s">
        <v>74</v>
      </c>
      <c r="BR231" t="s">
        <v>93</v>
      </c>
      <c r="BS231" t="s">
        <v>7681</v>
      </c>
      <c r="BT231" t="str">
        <f>HYPERLINK("https%3A%2F%2Fwww.webofscience.com%2Fwos%2Fwoscc%2Ffull-record%2FWOS:000374585300149","View Full Record in Web of Science")</f>
        <v>View Full Record in Web of Science</v>
      </c>
    </row>
    <row r="232" spans="1:72" x14ac:dyDescent="0.15">
      <c r="A232" t="s">
        <v>72</v>
      </c>
      <c r="B232" t="s">
        <v>8087</v>
      </c>
      <c r="C232" t="s">
        <v>74</v>
      </c>
      <c r="D232" t="s">
        <v>74</v>
      </c>
      <c r="E232" t="s">
        <v>74</v>
      </c>
      <c r="F232" t="s">
        <v>8088</v>
      </c>
      <c r="G232" t="s">
        <v>74</v>
      </c>
      <c r="H232" t="s">
        <v>74</v>
      </c>
      <c r="I232" t="s">
        <v>8089</v>
      </c>
      <c r="J232" t="s">
        <v>6854</v>
      </c>
      <c r="K232" t="s">
        <v>74</v>
      </c>
      <c r="L232" t="s">
        <v>74</v>
      </c>
      <c r="M232" t="s">
        <v>74</v>
      </c>
      <c r="N232" t="s">
        <v>78</v>
      </c>
      <c r="O232" t="s">
        <v>74</v>
      </c>
      <c r="P232" t="s">
        <v>74</v>
      </c>
      <c r="Q232" t="s">
        <v>74</v>
      </c>
      <c r="R232" t="s">
        <v>74</v>
      </c>
      <c r="S232" t="s">
        <v>74</v>
      </c>
      <c r="T232" t="s">
        <v>74</v>
      </c>
      <c r="U232" t="s">
        <v>8090</v>
      </c>
      <c r="V232" t="s">
        <v>8091</v>
      </c>
      <c r="W232" t="s">
        <v>8092</v>
      </c>
      <c r="X232" t="s">
        <v>8093</v>
      </c>
      <c r="Y232" t="s">
        <v>8094</v>
      </c>
      <c r="Z232" t="s">
        <v>8095</v>
      </c>
      <c r="AA232" t="s">
        <v>74</v>
      </c>
      <c r="AB232" t="s">
        <v>74</v>
      </c>
      <c r="AC232" t="s">
        <v>74</v>
      </c>
      <c r="AD232" t="s">
        <v>74</v>
      </c>
      <c r="AE232" t="s">
        <v>74</v>
      </c>
      <c r="AF232" t="s">
        <v>74</v>
      </c>
      <c r="AG232">
        <v>31</v>
      </c>
      <c r="AH232">
        <v>28</v>
      </c>
      <c r="AI232">
        <v>28</v>
      </c>
      <c r="AJ232">
        <v>26</v>
      </c>
      <c r="AK232">
        <v>110</v>
      </c>
      <c r="AL232" t="s">
        <v>74</v>
      </c>
      <c r="AM232" t="s">
        <v>74</v>
      </c>
      <c r="AN232" t="s">
        <v>74</v>
      </c>
      <c r="AO232" t="s">
        <v>6863</v>
      </c>
      <c r="AP232" t="s">
        <v>6864</v>
      </c>
      <c r="AQ232" t="s">
        <v>74</v>
      </c>
      <c r="AR232" t="s">
        <v>74</v>
      </c>
      <c r="AS232" t="s">
        <v>74</v>
      </c>
      <c r="AT232" t="s">
        <v>3110</v>
      </c>
      <c r="AU232">
        <v>2020</v>
      </c>
      <c r="AV232">
        <v>145</v>
      </c>
      <c r="AW232">
        <v>9</v>
      </c>
      <c r="AX232" t="s">
        <v>74</v>
      </c>
      <c r="AY232" t="s">
        <v>74</v>
      </c>
      <c r="AZ232" t="s">
        <v>74</v>
      </c>
      <c r="BA232" t="s">
        <v>74</v>
      </c>
      <c r="BB232">
        <v>3289</v>
      </c>
      <c r="BC232">
        <v>3296</v>
      </c>
      <c r="BD232" t="s">
        <v>74</v>
      </c>
      <c r="BE232" t="s">
        <v>8096</v>
      </c>
      <c r="BF232" t="str">
        <f>HYPERLINK("http://dx.doi.org/10.1039/d0an00393j","http://dx.doi.org/10.1039/d0an00393j")</f>
        <v>http://dx.doi.org/10.1039/d0an00393j</v>
      </c>
      <c r="BG232" t="s">
        <v>74</v>
      </c>
      <c r="BH232" t="s">
        <v>74</v>
      </c>
      <c r="BI232" t="s">
        <v>74</v>
      </c>
      <c r="BJ232" t="s">
        <v>1196</v>
      </c>
      <c r="BK232" t="s">
        <v>112</v>
      </c>
      <c r="BL232" t="s">
        <v>1197</v>
      </c>
      <c r="BM232" t="s">
        <v>74</v>
      </c>
      <c r="BN232">
        <v>32255115</v>
      </c>
      <c r="BO232" t="s">
        <v>74</v>
      </c>
      <c r="BP232" t="s">
        <v>74</v>
      </c>
      <c r="BQ232" t="s">
        <v>74</v>
      </c>
      <c r="BR232" t="s">
        <v>93</v>
      </c>
      <c r="BS232" t="s">
        <v>8097</v>
      </c>
      <c r="BT232" t="str">
        <f>HYPERLINK("https%3A%2F%2Fwww.webofscience.com%2Fwos%2Fwoscc%2Ffull-record%2FWOS:000532257200009","View Full Record in Web of Science")</f>
        <v>View Full Record in Web of Science</v>
      </c>
    </row>
    <row r="233" spans="1:72" x14ac:dyDescent="0.15">
      <c r="A233" t="s">
        <v>72</v>
      </c>
      <c r="B233" t="s">
        <v>8641</v>
      </c>
      <c r="C233" t="s">
        <v>74</v>
      </c>
      <c r="D233" t="s">
        <v>74</v>
      </c>
      <c r="E233" t="s">
        <v>74</v>
      </c>
      <c r="F233" t="s">
        <v>8642</v>
      </c>
      <c r="G233" t="s">
        <v>74</v>
      </c>
      <c r="H233" t="s">
        <v>74</v>
      </c>
      <c r="I233" t="s">
        <v>8643</v>
      </c>
      <c r="J233" t="s">
        <v>8644</v>
      </c>
      <c r="K233" t="s">
        <v>74</v>
      </c>
      <c r="L233" t="s">
        <v>74</v>
      </c>
      <c r="M233" t="s">
        <v>74</v>
      </c>
      <c r="N233" t="s">
        <v>78</v>
      </c>
      <c r="O233" t="s">
        <v>74</v>
      </c>
      <c r="P233" t="s">
        <v>74</v>
      </c>
      <c r="Q233" t="s">
        <v>74</v>
      </c>
      <c r="R233" t="s">
        <v>74</v>
      </c>
      <c r="S233" t="s">
        <v>74</v>
      </c>
      <c r="T233" t="s">
        <v>8645</v>
      </c>
      <c r="U233" t="s">
        <v>8646</v>
      </c>
      <c r="V233" t="s">
        <v>8647</v>
      </c>
      <c r="W233" t="s">
        <v>8648</v>
      </c>
      <c r="X233" t="s">
        <v>8649</v>
      </c>
      <c r="Y233" t="s">
        <v>8650</v>
      </c>
      <c r="Z233" t="s">
        <v>8651</v>
      </c>
      <c r="AA233" t="s">
        <v>74</v>
      </c>
      <c r="AB233" t="s">
        <v>8652</v>
      </c>
      <c r="AC233" t="s">
        <v>74</v>
      </c>
      <c r="AD233" t="s">
        <v>74</v>
      </c>
      <c r="AE233" t="s">
        <v>74</v>
      </c>
      <c r="AF233" t="s">
        <v>74</v>
      </c>
      <c r="AG233">
        <v>57</v>
      </c>
      <c r="AH233">
        <v>28</v>
      </c>
      <c r="AI233">
        <v>28</v>
      </c>
      <c r="AJ233">
        <v>19</v>
      </c>
      <c r="AK233">
        <v>44</v>
      </c>
      <c r="AL233" t="s">
        <v>74</v>
      </c>
      <c r="AM233" t="s">
        <v>74</v>
      </c>
      <c r="AN233" t="s">
        <v>74</v>
      </c>
      <c r="AO233" t="s">
        <v>8653</v>
      </c>
      <c r="AP233" t="s">
        <v>8654</v>
      </c>
      <c r="AQ233" t="s">
        <v>74</v>
      </c>
      <c r="AR233" t="s">
        <v>74</v>
      </c>
      <c r="AS233" t="s">
        <v>74</v>
      </c>
      <c r="AT233" t="s">
        <v>74</v>
      </c>
      <c r="AU233">
        <v>2018</v>
      </c>
      <c r="AV233">
        <v>46</v>
      </c>
      <c r="AW233" t="s">
        <v>74</v>
      </c>
      <c r="AX233" t="s">
        <v>74</v>
      </c>
      <c r="AY233">
        <v>3</v>
      </c>
      <c r="AZ233" t="s">
        <v>74</v>
      </c>
      <c r="BA233" t="s">
        <v>74</v>
      </c>
      <c r="BB233" t="s">
        <v>8655</v>
      </c>
      <c r="BC233" t="s">
        <v>8656</v>
      </c>
      <c r="BD233" t="s">
        <v>74</v>
      </c>
      <c r="BE233" t="s">
        <v>8657</v>
      </c>
      <c r="BF233" t="str">
        <f>HYPERLINK("http://dx.doi.org/10.1080/21691401.2018.1489263","http://dx.doi.org/10.1080/21691401.2018.1489263")</f>
        <v>http://dx.doi.org/10.1080/21691401.2018.1489263</v>
      </c>
      <c r="BG233" t="s">
        <v>74</v>
      </c>
      <c r="BH233" t="s">
        <v>74</v>
      </c>
      <c r="BI233" t="s">
        <v>74</v>
      </c>
      <c r="BJ233" t="s">
        <v>8658</v>
      </c>
      <c r="BK233" t="s">
        <v>112</v>
      </c>
      <c r="BL233" t="s">
        <v>8659</v>
      </c>
      <c r="BM233" t="s">
        <v>74</v>
      </c>
      <c r="BN233">
        <v>30033809</v>
      </c>
      <c r="BO233" t="s">
        <v>74</v>
      </c>
      <c r="BP233" t="s">
        <v>74</v>
      </c>
      <c r="BQ233" t="s">
        <v>74</v>
      </c>
      <c r="BR233" t="s">
        <v>93</v>
      </c>
      <c r="BS233" t="s">
        <v>8660</v>
      </c>
      <c r="BT233" t="str">
        <f>HYPERLINK("https%3A%2F%2Fwww.webofscience.com%2Fwos%2Fwoscc%2Ffull-record%2FWOS:000460141900005","View Full Record in Web of Science")</f>
        <v>View Full Record in Web of Science</v>
      </c>
    </row>
    <row r="234" spans="1:72" x14ac:dyDescent="0.15">
      <c r="A234" t="s">
        <v>72</v>
      </c>
      <c r="B234" t="s">
        <v>10295</v>
      </c>
      <c r="C234" t="s">
        <v>74</v>
      </c>
      <c r="D234" t="s">
        <v>74</v>
      </c>
      <c r="E234" t="s">
        <v>74</v>
      </c>
      <c r="F234" t="s">
        <v>10295</v>
      </c>
      <c r="G234" t="s">
        <v>74</v>
      </c>
      <c r="H234" t="s">
        <v>74</v>
      </c>
      <c r="I234" t="s">
        <v>10296</v>
      </c>
      <c r="J234" t="s">
        <v>7612</v>
      </c>
      <c r="K234" t="s">
        <v>74</v>
      </c>
      <c r="L234" t="s">
        <v>74</v>
      </c>
      <c r="M234" t="s">
        <v>74</v>
      </c>
      <c r="N234" t="s">
        <v>78</v>
      </c>
      <c r="O234" t="s">
        <v>74</v>
      </c>
      <c r="P234" t="s">
        <v>74</v>
      </c>
      <c r="Q234" t="s">
        <v>74</v>
      </c>
      <c r="R234" t="s">
        <v>74</v>
      </c>
      <c r="S234" t="s">
        <v>74</v>
      </c>
      <c r="T234" t="s">
        <v>10297</v>
      </c>
      <c r="U234" t="s">
        <v>10298</v>
      </c>
      <c r="V234" t="s">
        <v>10299</v>
      </c>
      <c r="W234" t="s">
        <v>10300</v>
      </c>
      <c r="X234" t="s">
        <v>10301</v>
      </c>
      <c r="Y234" t="s">
        <v>10302</v>
      </c>
      <c r="Z234" t="s">
        <v>74</v>
      </c>
      <c r="AA234" t="s">
        <v>74</v>
      </c>
      <c r="AB234" t="s">
        <v>74</v>
      </c>
      <c r="AC234" t="s">
        <v>74</v>
      </c>
      <c r="AD234" t="s">
        <v>74</v>
      </c>
      <c r="AE234" t="s">
        <v>74</v>
      </c>
      <c r="AF234" t="s">
        <v>74</v>
      </c>
      <c r="AG234">
        <v>55</v>
      </c>
      <c r="AH234">
        <v>28</v>
      </c>
      <c r="AI234">
        <v>28</v>
      </c>
      <c r="AJ234">
        <v>0</v>
      </c>
      <c r="AK234">
        <v>0</v>
      </c>
      <c r="AL234" t="s">
        <v>74</v>
      </c>
      <c r="AM234" t="s">
        <v>74</v>
      </c>
      <c r="AN234" t="s">
        <v>74</v>
      </c>
      <c r="AO234" t="s">
        <v>7621</v>
      </c>
      <c r="AP234" t="s">
        <v>74</v>
      </c>
      <c r="AQ234" t="s">
        <v>74</v>
      </c>
      <c r="AR234" t="s">
        <v>74</v>
      </c>
      <c r="AS234" t="s">
        <v>74</v>
      </c>
      <c r="AT234" t="s">
        <v>108</v>
      </c>
      <c r="AU234">
        <v>1991</v>
      </c>
      <c r="AV234">
        <v>87</v>
      </c>
      <c r="AW234">
        <v>1</v>
      </c>
      <c r="AX234" t="s">
        <v>74</v>
      </c>
      <c r="AY234" t="s">
        <v>74</v>
      </c>
      <c r="AZ234" t="s">
        <v>74</v>
      </c>
      <c r="BA234" t="s">
        <v>74</v>
      </c>
      <c r="BB234">
        <v>213</v>
      </c>
      <c r="BC234">
        <v>220</v>
      </c>
      <c r="BD234" t="s">
        <v>74</v>
      </c>
      <c r="BE234" t="s">
        <v>10303</v>
      </c>
      <c r="BF234" t="str">
        <f>HYPERLINK("http://dx.doi.org/10.1172/JCI114974","http://dx.doi.org/10.1172/JCI114974")</f>
        <v>http://dx.doi.org/10.1172/JCI114974</v>
      </c>
      <c r="BG234" t="s">
        <v>74</v>
      </c>
      <c r="BH234" t="s">
        <v>74</v>
      </c>
      <c r="BI234" t="s">
        <v>74</v>
      </c>
      <c r="BJ234" t="s">
        <v>506</v>
      </c>
      <c r="BK234" t="s">
        <v>112</v>
      </c>
      <c r="BL234" t="s">
        <v>507</v>
      </c>
      <c r="BM234" t="s">
        <v>74</v>
      </c>
      <c r="BN234">
        <v>1985097</v>
      </c>
      <c r="BO234" t="s">
        <v>74</v>
      </c>
      <c r="BP234" t="s">
        <v>74</v>
      </c>
      <c r="BQ234" t="s">
        <v>74</v>
      </c>
      <c r="BR234" t="s">
        <v>93</v>
      </c>
      <c r="BS234" t="s">
        <v>10304</v>
      </c>
      <c r="BT234" t="str">
        <f>HYPERLINK("https%3A%2F%2Fwww.webofscience.com%2Fwos%2Fwoscc%2Ffull-record%2FWOS:A1991EQ97600029","View Full Record in Web of Science")</f>
        <v>View Full Record in Web of Science</v>
      </c>
    </row>
    <row r="235" spans="1:72" x14ac:dyDescent="0.15">
      <c r="A235" t="s">
        <v>72</v>
      </c>
      <c r="B235" t="s">
        <v>1929</v>
      </c>
      <c r="C235" t="s">
        <v>74</v>
      </c>
      <c r="D235" t="s">
        <v>74</v>
      </c>
      <c r="E235" t="s">
        <v>74</v>
      </c>
      <c r="F235" t="s">
        <v>1930</v>
      </c>
      <c r="G235" t="s">
        <v>74</v>
      </c>
      <c r="H235" t="s">
        <v>74</v>
      </c>
      <c r="I235" t="s">
        <v>1931</v>
      </c>
      <c r="J235" t="s">
        <v>1932</v>
      </c>
      <c r="K235" t="s">
        <v>74</v>
      </c>
      <c r="L235" t="s">
        <v>74</v>
      </c>
      <c r="M235" t="s">
        <v>74</v>
      </c>
      <c r="N235" t="s">
        <v>78</v>
      </c>
      <c r="O235" t="s">
        <v>74</v>
      </c>
      <c r="P235" t="s">
        <v>74</v>
      </c>
      <c r="Q235" t="s">
        <v>74</v>
      </c>
      <c r="R235" t="s">
        <v>74</v>
      </c>
      <c r="S235" t="s">
        <v>74</v>
      </c>
      <c r="T235" t="s">
        <v>1933</v>
      </c>
      <c r="U235" t="s">
        <v>1934</v>
      </c>
      <c r="V235" t="s">
        <v>1935</v>
      </c>
      <c r="W235" t="s">
        <v>1936</v>
      </c>
      <c r="X235" t="s">
        <v>1937</v>
      </c>
      <c r="Y235" t="s">
        <v>1938</v>
      </c>
      <c r="Z235" t="s">
        <v>1939</v>
      </c>
      <c r="AA235" t="s">
        <v>74</v>
      </c>
      <c r="AB235" t="s">
        <v>1940</v>
      </c>
      <c r="AC235" t="s">
        <v>74</v>
      </c>
      <c r="AD235" t="s">
        <v>74</v>
      </c>
      <c r="AE235" t="s">
        <v>74</v>
      </c>
      <c r="AF235" t="s">
        <v>74</v>
      </c>
      <c r="AG235">
        <v>45</v>
      </c>
      <c r="AH235">
        <v>27</v>
      </c>
      <c r="AI235">
        <v>27</v>
      </c>
      <c r="AJ235">
        <v>5</v>
      </c>
      <c r="AK235">
        <v>26</v>
      </c>
      <c r="AL235" t="s">
        <v>74</v>
      </c>
      <c r="AM235" t="s">
        <v>74</v>
      </c>
      <c r="AN235" t="s">
        <v>74</v>
      </c>
      <c r="AO235" t="s">
        <v>1941</v>
      </c>
      <c r="AP235" t="s">
        <v>1942</v>
      </c>
      <c r="AQ235" t="s">
        <v>74</v>
      </c>
      <c r="AR235" t="s">
        <v>74</v>
      </c>
      <c r="AS235" t="s">
        <v>74</v>
      </c>
      <c r="AT235" t="s">
        <v>437</v>
      </c>
      <c r="AU235">
        <v>2017</v>
      </c>
      <c r="AV235">
        <v>26</v>
      </c>
      <c r="AW235">
        <v>5</v>
      </c>
      <c r="AX235" t="s">
        <v>74</v>
      </c>
      <c r="AY235" t="s">
        <v>74</v>
      </c>
      <c r="AZ235" t="s">
        <v>74</v>
      </c>
      <c r="BA235" t="s">
        <v>74</v>
      </c>
      <c r="BB235">
        <v>307</v>
      </c>
      <c r="BC235">
        <v>317</v>
      </c>
      <c r="BD235" t="s">
        <v>74</v>
      </c>
      <c r="BE235" t="s">
        <v>1943</v>
      </c>
      <c r="BF235" t="str">
        <f>HYPERLINK("http://dx.doi.org/10.5607/en.2017.26.5.307","http://dx.doi.org/10.5607/en.2017.26.5.307")</f>
        <v>http://dx.doi.org/10.5607/en.2017.26.5.307</v>
      </c>
      <c r="BG235" t="s">
        <v>74</v>
      </c>
      <c r="BH235" t="s">
        <v>74</v>
      </c>
      <c r="BI235" t="s">
        <v>74</v>
      </c>
      <c r="BJ235" t="s">
        <v>1944</v>
      </c>
      <c r="BK235" t="s">
        <v>1460</v>
      </c>
      <c r="BL235" t="s">
        <v>1945</v>
      </c>
      <c r="BM235" t="s">
        <v>74</v>
      </c>
      <c r="BN235">
        <v>29093639</v>
      </c>
      <c r="BO235" t="s">
        <v>74</v>
      </c>
      <c r="BP235" t="s">
        <v>74</v>
      </c>
      <c r="BQ235" t="s">
        <v>74</v>
      </c>
      <c r="BR235" t="s">
        <v>93</v>
      </c>
      <c r="BS235" t="s">
        <v>1946</v>
      </c>
      <c r="BT235" t="str">
        <f>HYPERLINK("https%3A%2F%2Fwww.webofscience.com%2Fwos%2Fwoscc%2Ffull-record%2FWOS:000424432900007","View Full Record in Web of Science")</f>
        <v>View Full Record in Web of Science</v>
      </c>
    </row>
    <row r="236" spans="1:72" x14ac:dyDescent="0.15">
      <c r="A236" t="s">
        <v>72</v>
      </c>
      <c r="B236" t="s">
        <v>3202</v>
      </c>
      <c r="C236" t="s">
        <v>74</v>
      </c>
      <c r="D236" t="s">
        <v>74</v>
      </c>
      <c r="E236" t="s">
        <v>74</v>
      </c>
      <c r="F236" t="s">
        <v>3203</v>
      </c>
      <c r="G236" t="s">
        <v>74</v>
      </c>
      <c r="H236" t="s">
        <v>74</v>
      </c>
      <c r="I236" t="s">
        <v>3204</v>
      </c>
      <c r="J236" t="s">
        <v>3205</v>
      </c>
      <c r="K236" t="s">
        <v>74</v>
      </c>
      <c r="L236" t="s">
        <v>74</v>
      </c>
      <c r="M236" t="s">
        <v>74</v>
      </c>
      <c r="N236" t="s">
        <v>78</v>
      </c>
      <c r="O236" t="s">
        <v>74</v>
      </c>
      <c r="P236" t="s">
        <v>74</v>
      </c>
      <c r="Q236" t="s">
        <v>74</v>
      </c>
      <c r="R236" t="s">
        <v>74</v>
      </c>
      <c r="S236" t="s">
        <v>74</v>
      </c>
      <c r="T236" t="s">
        <v>3206</v>
      </c>
      <c r="U236" t="s">
        <v>3207</v>
      </c>
      <c r="V236" t="s">
        <v>3208</v>
      </c>
      <c r="W236" t="s">
        <v>3209</v>
      </c>
      <c r="X236" t="s">
        <v>74</v>
      </c>
      <c r="Y236" t="s">
        <v>3210</v>
      </c>
      <c r="Z236" t="s">
        <v>3211</v>
      </c>
      <c r="AA236" t="s">
        <v>3212</v>
      </c>
      <c r="AB236" t="s">
        <v>3213</v>
      </c>
      <c r="AC236" t="s">
        <v>74</v>
      </c>
      <c r="AD236" t="s">
        <v>74</v>
      </c>
      <c r="AE236" t="s">
        <v>74</v>
      </c>
      <c r="AF236" t="s">
        <v>74</v>
      </c>
      <c r="AG236">
        <v>76</v>
      </c>
      <c r="AH236">
        <v>27</v>
      </c>
      <c r="AI236">
        <v>27</v>
      </c>
      <c r="AJ236">
        <v>2</v>
      </c>
      <c r="AK236">
        <v>11</v>
      </c>
      <c r="AL236" t="s">
        <v>74</v>
      </c>
      <c r="AM236" t="s">
        <v>74</v>
      </c>
      <c r="AN236" t="s">
        <v>74</v>
      </c>
      <c r="AO236" t="s">
        <v>3214</v>
      </c>
      <c r="AP236" t="s">
        <v>3215</v>
      </c>
      <c r="AQ236" t="s">
        <v>74</v>
      </c>
      <c r="AR236" t="s">
        <v>74</v>
      </c>
      <c r="AS236" t="s">
        <v>74</v>
      </c>
      <c r="AT236" t="s">
        <v>3216</v>
      </c>
      <c r="AU236">
        <v>2018</v>
      </c>
      <c r="AV236">
        <v>95</v>
      </c>
      <c r="AW236">
        <v>1</v>
      </c>
      <c r="AX236" t="s">
        <v>74</v>
      </c>
      <c r="AY236" t="s">
        <v>74</v>
      </c>
      <c r="AZ236" t="s">
        <v>1075</v>
      </c>
      <c r="BA236" t="s">
        <v>74</v>
      </c>
      <c r="BB236">
        <v>12</v>
      </c>
      <c r="BC236">
        <v>22</v>
      </c>
      <c r="BD236" t="s">
        <v>74</v>
      </c>
      <c r="BE236" t="s">
        <v>3217</v>
      </c>
      <c r="BF236" t="str">
        <f>HYPERLINK("http://dx.doi.org/10.1080/09553002.2018.1450533","http://dx.doi.org/10.1080/09553002.2018.1450533")</f>
        <v>http://dx.doi.org/10.1080/09553002.2018.1450533</v>
      </c>
      <c r="BG236" t="s">
        <v>74</v>
      </c>
      <c r="BH236" t="s">
        <v>74</v>
      </c>
      <c r="BI236" t="s">
        <v>74</v>
      </c>
      <c r="BJ236" t="s">
        <v>3218</v>
      </c>
      <c r="BK236" t="s">
        <v>112</v>
      </c>
      <c r="BL236" t="s">
        <v>3219</v>
      </c>
      <c r="BM236" t="s">
        <v>74</v>
      </c>
      <c r="BN236">
        <v>29533121</v>
      </c>
      <c r="BO236" t="s">
        <v>74</v>
      </c>
      <c r="BP236" t="s">
        <v>74</v>
      </c>
      <c r="BQ236" t="s">
        <v>74</v>
      </c>
      <c r="BR236" t="s">
        <v>93</v>
      </c>
      <c r="BS236" t="s">
        <v>3220</v>
      </c>
      <c r="BT236" t="str">
        <f>HYPERLINK("https%3A%2F%2Fwww.webofscience.com%2Fwos%2Fwoscc%2Ffull-record%2FWOS:000456695400003","View Full Record in Web of Science")</f>
        <v>View Full Record in Web of Science</v>
      </c>
    </row>
    <row r="237" spans="1:72" x14ac:dyDescent="0.15">
      <c r="A237" t="s">
        <v>72</v>
      </c>
      <c r="B237" t="s">
        <v>3875</v>
      </c>
      <c r="C237" t="s">
        <v>74</v>
      </c>
      <c r="D237" t="s">
        <v>74</v>
      </c>
      <c r="E237" t="s">
        <v>74</v>
      </c>
      <c r="F237" t="s">
        <v>3876</v>
      </c>
      <c r="G237" t="s">
        <v>74</v>
      </c>
      <c r="H237" t="s">
        <v>74</v>
      </c>
      <c r="I237" t="s">
        <v>3877</v>
      </c>
      <c r="J237" t="s">
        <v>1184</v>
      </c>
      <c r="K237" t="s">
        <v>74</v>
      </c>
      <c r="L237" t="s">
        <v>74</v>
      </c>
      <c r="M237" t="s">
        <v>74</v>
      </c>
      <c r="N237" t="s">
        <v>78</v>
      </c>
      <c r="O237" t="s">
        <v>74</v>
      </c>
      <c r="P237" t="s">
        <v>74</v>
      </c>
      <c r="Q237" t="s">
        <v>74</v>
      </c>
      <c r="R237" t="s">
        <v>74</v>
      </c>
      <c r="S237" t="s">
        <v>74</v>
      </c>
      <c r="T237" t="s">
        <v>3878</v>
      </c>
      <c r="U237" t="s">
        <v>3879</v>
      </c>
      <c r="V237" t="s">
        <v>3880</v>
      </c>
      <c r="W237" t="s">
        <v>3881</v>
      </c>
      <c r="X237" t="s">
        <v>3882</v>
      </c>
      <c r="Y237" t="s">
        <v>3883</v>
      </c>
      <c r="Z237" t="s">
        <v>3884</v>
      </c>
      <c r="AA237" t="s">
        <v>74</v>
      </c>
      <c r="AB237" t="s">
        <v>74</v>
      </c>
      <c r="AC237" t="s">
        <v>74</v>
      </c>
      <c r="AD237" t="s">
        <v>74</v>
      </c>
      <c r="AE237" t="s">
        <v>74</v>
      </c>
      <c r="AF237" t="s">
        <v>74</v>
      </c>
      <c r="AG237">
        <v>41</v>
      </c>
      <c r="AH237">
        <v>27</v>
      </c>
      <c r="AI237">
        <v>27</v>
      </c>
      <c r="AJ237">
        <v>22</v>
      </c>
      <c r="AK237">
        <v>196</v>
      </c>
      <c r="AL237" t="s">
        <v>74</v>
      </c>
      <c r="AM237" t="s">
        <v>74</v>
      </c>
      <c r="AN237" t="s">
        <v>74</v>
      </c>
      <c r="AO237" t="s">
        <v>1193</v>
      </c>
      <c r="AP237" t="s">
        <v>1194</v>
      </c>
      <c r="AQ237" t="s">
        <v>74</v>
      </c>
      <c r="AR237" t="s">
        <v>74</v>
      </c>
      <c r="AS237" t="s">
        <v>74</v>
      </c>
      <c r="AT237" t="s">
        <v>3885</v>
      </c>
      <c r="AU237">
        <v>2020</v>
      </c>
      <c r="AV237">
        <v>209</v>
      </c>
      <c r="AW237" t="s">
        <v>74</v>
      </c>
      <c r="AX237" t="s">
        <v>74</v>
      </c>
      <c r="AY237" t="s">
        <v>74</v>
      </c>
      <c r="AZ237" t="s">
        <v>74</v>
      </c>
      <c r="BA237" t="s">
        <v>74</v>
      </c>
      <c r="BB237" t="s">
        <v>74</v>
      </c>
      <c r="BC237" t="s">
        <v>74</v>
      </c>
      <c r="BD237">
        <v>120510</v>
      </c>
      <c r="BE237" t="s">
        <v>3886</v>
      </c>
      <c r="BF237" t="str">
        <f>HYPERLINK("http://dx.doi.org/10.1016/j.talanta.2019.120510","http://dx.doi.org/10.1016/j.talanta.2019.120510")</f>
        <v>http://dx.doi.org/10.1016/j.talanta.2019.120510</v>
      </c>
      <c r="BG237" t="s">
        <v>74</v>
      </c>
      <c r="BH237" t="s">
        <v>74</v>
      </c>
      <c r="BI237" t="s">
        <v>74</v>
      </c>
      <c r="BJ237" t="s">
        <v>1196</v>
      </c>
      <c r="BK237" t="s">
        <v>112</v>
      </c>
      <c r="BL237" t="s">
        <v>1197</v>
      </c>
      <c r="BM237" t="s">
        <v>74</v>
      </c>
      <c r="BN237">
        <v>31892034</v>
      </c>
      <c r="BO237" t="s">
        <v>74</v>
      </c>
      <c r="BP237" t="s">
        <v>74</v>
      </c>
      <c r="BQ237" t="s">
        <v>74</v>
      </c>
      <c r="BR237" t="s">
        <v>93</v>
      </c>
      <c r="BS237" t="s">
        <v>3887</v>
      </c>
      <c r="BT237" t="str">
        <f>HYPERLINK("https%3A%2F%2Fwww.webofscience.com%2Fwos%2Fwoscc%2Ffull-record%2FWOS:000509632900029","View Full Record in Web of Science")</f>
        <v>View Full Record in Web of Science</v>
      </c>
    </row>
    <row r="238" spans="1:72" x14ac:dyDescent="0.15">
      <c r="A238" t="s">
        <v>72</v>
      </c>
      <c r="B238" t="s">
        <v>5263</v>
      </c>
      <c r="C238" t="s">
        <v>74</v>
      </c>
      <c r="D238" t="s">
        <v>74</v>
      </c>
      <c r="E238" t="s">
        <v>74</v>
      </c>
      <c r="F238" t="s">
        <v>5264</v>
      </c>
      <c r="G238" t="s">
        <v>74</v>
      </c>
      <c r="H238" t="s">
        <v>74</v>
      </c>
      <c r="I238" t="s">
        <v>5265</v>
      </c>
      <c r="J238" t="s">
        <v>2850</v>
      </c>
      <c r="K238" t="s">
        <v>74</v>
      </c>
      <c r="L238" t="s">
        <v>74</v>
      </c>
      <c r="M238" t="s">
        <v>74</v>
      </c>
      <c r="N238" t="s">
        <v>78</v>
      </c>
      <c r="O238" t="s">
        <v>74</v>
      </c>
      <c r="P238" t="s">
        <v>74</v>
      </c>
      <c r="Q238" t="s">
        <v>74</v>
      </c>
      <c r="R238" t="s">
        <v>74</v>
      </c>
      <c r="S238" t="s">
        <v>74</v>
      </c>
      <c r="T238" t="s">
        <v>74</v>
      </c>
      <c r="U238" t="s">
        <v>5266</v>
      </c>
      <c r="V238" t="s">
        <v>5267</v>
      </c>
      <c r="W238" t="s">
        <v>5268</v>
      </c>
      <c r="X238" t="s">
        <v>5269</v>
      </c>
      <c r="Y238" t="s">
        <v>5270</v>
      </c>
      <c r="Z238" t="s">
        <v>5271</v>
      </c>
      <c r="AA238" t="s">
        <v>74</v>
      </c>
      <c r="AB238" t="s">
        <v>5272</v>
      </c>
      <c r="AC238" t="s">
        <v>74</v>
      </c>
      <c r="AD238" t="s">
        <v>74</v>
      </c>
      <c r="AE238" t="s">
        <v>74</v>
      </c>
      <c r="AF238" t="s">
        <v>74</v>
      </c>
      <c r="AG238">
        <v>51</v>
      </c>
      <c r="AH238">
        <v>27</v>
      </c>
      <c r="AI238">
        <v>27</v>
      </c>
      <c r="AJ238">
        <v>0</v>
      </c>
      <c r="AK238">
        <v>10</v>
      </c>
      <c r="AL238" t="s">
        <v>74</v>
      </c>
      <c r="AM238" t="s">
        <v>74</v>
      </c>
      <c r="AN238" t="s">
        <v>74</v>
      </c>
      <c r="AO238" t="s">
        <v>2859</v>
      </c>
      <c r="AP238" t="s">
        <v>74</v>
      </c>
      <c r="AQ238" t="s">
        <v>74</v>
      </c>
      <c r="AR238" t="s">
        <v>74</v>
      </c>
      <c r="AS238" t="s">
        <v>74</v>
      </c>
      <c r="AT238" t="s">
        <v>271</v>
      </c>
      <c r="AU238">
        <v>2018</v>
      </c>
      <c r="AV238">
        <v>9</v>
      </c>
      <c r="AW238" t="s">
        <v>74</v>
      </c>
      <c r="AX238" t="s">
        <v>74</v>
      </c>
      <c r="AY238" t="s">
        <v>74</v>
      </c>
      <c r="AZ238" t="s">
        <v>74</v>
      </c>
      <c r="BA238" t="s">
        <v>74</v>
      </c>
      <c r="BB238" t="s">
        <v>74</v>
      </c>
      <c r="BC238" t="s">
        <v>74</v>
      </c>
      <c r="BD238">
        <v>3906</v>
      </c>
      <c r="BE238" t="s">
        <v>5273</v>
      </c>
      <c r="BF238" t="str">
        <f>HYPERLINK("http://dx.doi.org/10.1038/s41467-018-06206-0","http://dx.doi.org/10.1038/s41467-018-06206-0")</f>
        <v>http://dx.doi.org/10.1038/s41467-018-06206-0</v>
      </c>
      <c r="BG238" t="s">
        <v>74</v>
      </c>
      <c r="BH238" t="s">
        <v>74</v>
      </c>
      <c r="BI238" t="s">
        <v>74</v>
      </c>
      <c r="BJ238" t="s">
        <v>545</v>
      </c>
      <c r="BK238" t="s">
        <v>112</v>
      </c>
      <c r="BL238" t="s">
        <v>546</v>
      </c>
      <c r="BM238" t="s">
        <v>74</v>
      </c>
      <c r="BN238">
        <v>30254196</v>
      </c>
      <c r="BO238" t="s">
        <v>74</v>
      </c>
      <c r="BP238" t="s">
        <v>74</v>
      </c>
      <c r="BQ238" t="s">
        <v>74</v>
      </c>
      <c r="BR238" t="s">
        <v>93</v>
      </c>
      <c r="BS238" t="s">
        <v>5274</v>
      </c>
      <c r="BT238" t="str">
        <f>HYPERLINK("https%3A%2F%2Fwww.webofscience.com%2Fwos%2Fwoscc%2Ffull-record%2FWOS:000445560800014","View Full Record in Web of Science")</f>
        <v>View Full Record in Web of Science</v>
      </c>
    </row>
    <row r="239" spans="1:72" x14ac:dyDescent="0.15">
      <c r="A239" t="s">
        <v>72</v>
      </c>
      <c r="B239" t="s">
        <v>6265</v>
      </c>
      <c r="C239" t="s">
        <v>74</v>
      </c>
      <c r="D239" t="s">
        <v>74</v>
      </c>
      <c r="E239" t="s">
        <v>74</v>
      </c>
      <c r="F239" t="s">
        <v>6266</v>
      </c>
      <c r="G239" t="s">
        <v>74</v>
      </c>
      <c r="H239" t="s">
        <v>74</v>
      </c>
      <c r="I239" t="s">
        <v>6267</v>
      </c>
      <c r="J239" t="s">
        <v>6138</v>
      </c>
      <c r="K239" t="s">
        <v>74</v>
      </c>
      <c r="L239" t="s">
        <v>74</v>
      </c>
      <c r="M239" t="s">
        <v>74</v>
      </c>
      <c r="N239" t="s">
        <v>78</v>
      </c>
      <c r="O239" t="s">
        <v>74</v>
      </c>
      <c r="P239" t="s">
        <v>74</v>
      </c>
      <c r="Q239" t="s">
        <v>74</v>
      </c>
      <c r="R239" t="s">
        <v>74</v>
      </c>
      <c r="S239" t="s">
        <v>74</v>
      </c>
      <c r="T239" t="s">
        <v>6268</v>
      </c>
      <c r="U239" t="s">
        <v>6269</v>
      </c>
      <c r="V239" t="s">
        <v>6270</v>
      </c>
      <c r="W239" t="s">
        <v>6271</v>
      </c>
      <c r="X239" t="s">
        <v>6272</v>
      </c>
      <c r="Y239" t="s">
        <v>6273</v>
      </c>
      <c r="Z239" t="s">
        <v>6274</v>
      </c>
      <c r="AA239" t="s">
        <v>6275</v>
      </c>
      <c r="AB239" t="s">
        <v>6276</v>
      </c>
      <c r="AC239" t="s">
        <v>74</v>
      </c>
      <c r="AD239" t="s">
        <v>74</v>
      </c>
      <c r="AE239" t="s">
        <v>74</v>
      </c>
      <c r="AF239" t="s">
        <v>74</v>
      </c>
      <c r="AG239">
        <v>53</v>
      </c>
      <c r="AH239">
        <v>27</v>
      </c>
      <c r="AI239">
        <v>29</v>
      </c>
      <c r="AJ239">
        <v>1</v>
      </c>
      <c r="AK239">
        <v>13</v>
      </c>
      <c r="AL239" t="s">
        <v>74</v>
      </c>
      <c r="AM239" t="s">
        <v>74</v>
      </c>
      <c r="AN239" t="s">
        <v>74</v>
      </c>
      <c r="AO239" t="s">
        <v>6148</v>
      </c>
      <c r="AP239" t="s">
        <v>6149</v>
      </c>
      <c r="AQ239" t="s">
        <v>74</v>
      </c>
      <c r="AR239" t="s">
        <v>74</v>
      </c>
      <c r="AS239" t="s">
        <v>74</v>
      </c>
      <c r="AT239" t="s">
        <v>6277</v>
      </c>
      <c r="AU239">
        <v>2019</v>
      </c>
      <c r="AV239">
        <v>144</v>
      </c>
      <c r="AW239">
        <v>10</v>
      </c>
      <c r="AX239" t="s">
        <v>74</v>
      </c>
      <c r="AY239" t="s">
        <v>74</v>
      </c>
      <c r="AZ239" t="s">
        <v>74</v>
      </c>
      <c r="BA239" t="s">
        <v>74</v>
      </c>
      <c r="BB239">
        <v>2555</v>
      </c>
      <c r="BC239">
        <v>2566</v>
      </c>
      <c r="BD239" t="s">
        <v>74</v>
      </c>
      <c r="BE239" t="s">
        <v>6278</v>
      </c>
      <c r="BF239" t="str">
        <f>HYPERLINK("http://dx.doi.org/10.1002/ijc.31967","http://dx.doi.org/10.1002/ijc.31967")</f>
        <v>http://dx.doi.org/10.1002/ijc.31967</v>
      </c>
      <c r="BG239" t="s">
        <v>74</v>
      </c>
      <c r="BH239" t="s">
        <v>74</v>
      </c>
      <c r="BI239" t="s">
        <v>74</v>
      </c>
      <c r="BJ239" t="s">
        <v>146</v>
      </c>
      <c r="BK239" t="s">
        <v>112</v>
      </c>
      <c r="BL239" t="s">
        <v>146</v>
      </c>
      <c r="BM239" t="s">
        <v>74</v>
      </c>
      <c r="BN239">
        <v>30411781</v>
      </c>
      <c r="BO239" t="s">
        <v>74</v>
      </c>
      <c r="BP239" t="s">
        <v>74</v>
      </c>
      <c r="BQ239" t="s">
        <v>74</v>
      </c>
      <c r="BR239" t="s">
        <v>93</v>
      </c>
      <c r="BS239" t="s">
        <v>6279</v>
      </c>
      <c r="BT239" t="str">
        <f>HYPERLINK("https%3A%2F%2Fwww.webofscience.com%2Fwos%2Fwoscc%2Ffull-record%2FWOS:000462131100020","View Full Record in Web of Science")</f>
        <v>View Full Record in Web of Science</v>
      </c>
    </row>
    <row r="240" spans="1:72" x14ac:dyDescent="0.15">
      <c r="A240" t="s">
        <v>72</v>
      </c>
      <c r="B240" t="s">
        <v>9996</v>
      </c>
      <c r="C240" t="s">
        <v>74</v>
      </c>
      <c r="D240" t="s">
        <v>74</v>
      </c>
      <c r="E240" t="s">
        <v>74</v>
      </c>
      <c r="F240" t="s">
        <v>9997</v>
      </c>
      <c r="G240" t="s">
        <v>74</v>
      </c>
      <c r="H240" t="s">
        <v>9998</v>
      </c>
      <c r="I240" t="s">
        <v>9999</v>
      </c>
      <c r="J240" t="s">
        <v>10000</v>
      </c>
      <c r="K240" t="s">
        <v>74</v>
      </c>
      <c r="L240" t="s">
        <v>74</v>
      </c>
      <c r="M240" t="s">
        <v>74</v>
      </c>
      <c r="N240" t="s">
        <v>78</v>
      </c>
      <c r="O240" t="s">
        <v>74</v>
      </c>
      <c r="P240" t="s">
        <v>74</v>
      </c>
      <c r="Q240" t="s">
        <v>74</v>
      </c>
      <c r="R240" t="s">
        <v>74</v>
      </c>
      <c r="S240" t="s">
        <v>74</v>
      </c>
      <c r="T240" t="s">
        <v>74</v>
      </c>
      <c r="U240" t="s">
        <v>10001</v>
      </c>
      <c r="V240" t="s">
        <v>10002</v>
      </c>
      <c r="W240" t="s">
        <v>10003</v>
      </c>
      <c r="X240" t="s">
        <v>10004</v>
      </c>
      <c r="Y240" t="s">
        <v>10005</v>
      </c>
      <c r="Z240" t="s">
        <v>10006</v>
      </c>
      <c r="AA240" t="s">
        <v>10007</v>
      </c>
      <c r="AB240" t="s">
        <v>10008</v>
      </c>
      <c r="AC240" t="s">
        <v>74</v>
      </c>
      <c r="AD240" t="s">
        <v>74</v>
      </c>
      <c r="AE240" t="s">
        <v>74</v>
      </c>
      <c r="AF240" t="s">
        <v>74</v>
      </c>
      <c r="AG240">
        <v>42</v>
      </c>
      <c r="AH240">
        <v>27</v>
      </c>
      <c r="AI240">
        <v>27</v>
      </c>
      <c r="AJ240">
        <v>1</v>
      </c>
      <c r="AK240">
        <v>12</v>
      </c>
      <c r="AL240" t="s">
        <v>74</v>
      </c>
      <c r="AM240" t="s">
        <v>74</v>
      </c>
      <c r="AN240" t="s">
        <v>74</v>
      </c>
      <c r="AO240" t="s">
        <v>10009</v>
      </c>
      <c r="AP240" t="s">
        <v>10010</v>
      </c>
      <c r="AQ240" t="s">
        <v>74</v>
      </c>
      <c r="AR240" t="s">
        <v>74</v>
      </c>
      <c r="AS240" t="s">
        <v>74</v>
      </c>
      <c r="AT240" t="s">
        <v>818</v>
      </c>
      <c r="AU240">
        <v>2018</v>
      </c>
      <c r="AV240">
        <v>89</v>
      </c>
      <c r="AW240">
        <v>8</v>
      </c>
      <c r="AX240" t="s">
        <v>74</v>
      </c>
      <c r="AY240" t="s">
        <v>74</v>
      </c>
      <c r="AZ240" t="s">
        <v>74</v>
      </c>
      <c r="BA240" t="s">
        <v>74</v>
      </c>
      <c r="BB240">
        <v>851</v>
      </c>
      <c r="BC240">
        <v>858</v>
      </c>
      <c r="BD240" t="s">
        <v>74</v>
      </c>
      <c r="BE240" t="s">
        <v>10011</v>
      </c>
      <c r="BF240" t="str">
        <f>HYPERLINK("http://dx.doi.org/10.1136/jnnp-2017-317492","http://dx.doi.org/10.1136/jnnp-2017-317492")</f>
        <v>http://dx.doi.org/10.1136/jnnp-2017-317492</v>
      </c>
      <c r="BG240" t="s">
        <v>74</v>
      </c>
      <c r="BH240" t="s">
        <v>74</v>
      </c>
      <c r="BI240" t="s">
        <v>74</v>
      </c>
      <c r="BJ240" t="s">
        <v>10012</v>
      </c>
      <c r="BK240" t="s">
        <v>112</v>
      </c>
      <c r="BL240" t="s">
        <v>10013</v>
      </c>
      <c r="BM240" t="s">
        <v>74</v>
      </c>
      <c r="BN240">
        <v>29434051</v>
      </c>
      <c r="BO240" t="s">
        <v>74</v>
      </c>
      <c r="BP240" t="s">
        <v>74</v>
      </c>
      <c r="BQ240" t="s">
        <v>74</v>
      </c>
      <c r="BR240" t="s">
        <v>93</v>
      </c>
      <c r="BS240" t="s">
        <v>10014</v>
      </c>
      <c r="BT240" t="str">
        <f>HYPERLINK("https%3A%2F%2Fwww.webofscience.com%2Fwos%2Fwoscc%2Ffull-record%2FWOS:000442475000017","View Full Record in Web of Science")</f>
        <v>View Full Record in Web of Science</v>
      </c>
    </row>
    <row r="241" spans="1:72" x14ac:dyDescent="0.15">
      <c r="A241" t="s">
        <v>312</v>
      </c>
      <c r="B241" t="s">
        <v>2431</v>
      </c>
      <c r="C241" t="s">
        <v>74</v>
      </c>
      <c r="D241" t="s">
        <v>2432</v>
      </c>
      <c r="E241" t="s">
        <v>74</v>
      </c>
      <c r="F241" t="s">
        <v>2433</v>
      </c>
      <c r="G241" t="s">
        <v>74</v>
      </c>
      <c r="H241" t="s">
        <v>74</v>
      </c>
      <c r="I241" t="s">
        <v>2434</v>
      </c>
      <c r="J241" t="s">
        <v>2435</v>
      </c>
      <c r="K241" t="s">
        <v>751</v>
      </c>
      <c r="L241" t="s">
        <v>74</v>
      </c>
      <c r="M241" t="s">
        <v>74</v>
      </c>
      <c r="N241" t="s">
        <v>319</v>
      </c>
      <c r="O241" t="s">
        <v>74</v>
      </c>
      <c r="P241" t="s">
        <v>74</v>
      </c>
      <c r="Q241" t="s">
        <v>74</v>
      </c>
      <c r="R241" t="s">
        <v>74</v>
      </c>
      <c r="S241" t="s">
        <v>74</v>
      </c>
      <c r="T241" t="s">
        <v>74</v>
      </c>
      <c r="U241" t="s">
        <v>2436</v>
      </c>
      <c r="V241" t="s">
        <v>2437</v>
      </c>
      <c r="W241" t="s">
        <v>2438</v>
      </c>
      <c r="X241" t="s">
        <v>2439</v>
      </c>
      <c r="Y241" t="s">
        <v>2440</v>
      </c>
      <c r="Z241" t="s">
        <v>2441</v>
      </c>
      <c r="AA241" t="s">
        <v>74</v>
      </c>
      <c r="AB241" t="s">
        <v>74</v>
      </c>
      <c r="AC241" t="s">
        <v>74</v>
      </c>
      <c r="AD241" t="s">
        <v>74</v>
      </c>
      <c r="AE241" t="s">
        <v>74</v>
      </c>
      <c r="AF241" t="s">
        <v>74</v>
      </c>
      <c r="AG241">
        <v>82</v>
      </c>
      <c r="AH241">
        <v>26</v>
      </c>
      <c r="AI241">
        <v>27</v>
      </c>
      <c r="AJ241">
        <v>0</v>
      </c>
      <c r="AK241">
        <v>10</v>
      </c>
      <c r="AL241" t="s">
        <v>74</v>
      </c>
      <c r="AM241" t="s">
        <v>74</v>
      </c>
      <c r="AN241" t="s">
        <v>74</v>
      </c>
      <c r="AO241" t="s">
        <v>765</v>
      </c>
      <c r="AP241" t="s">
        <v>74</v>
      </c>
      <c r="AQ241" t="s">
        <v>2442</v>
      </c>
      <c r="AR241" t="s">
        <v>74</v>
      </c>
      <c r="AS241" t="s">
        <v>74</v>
      </c>
      <c r="AT241" t="s">
        <v>74</v>
      </c>
      <c r="AU241">
        <v>2011</v>
      </c>
      <c r="AV241">
        <v>714</v>
      </c>
      <c r="AW241" t="s">
        <v>74</v>
      </c>
      <c r="AX241" t="s">
        <v>74</v>
      </c>
      <c r="AY241" t="s">
        <v>74</v>
      </c>
      <c r="AZ241" t="s">
        <v>74</v>
      </c>
      <c r="BA241" t="s">
        <v>74</v>
      </c>
      <c r="BB241">
        <v>183</v>
      </c>
      <c r="BC241">
        <v>199</v>
      </c>
      <c r="BD241" t="s">
        <v>74</v>
      </c>
      <c r="BE241" t="s">
        <v>2443</v>
      </c>
      <c r="BF241" t="str">
        <f>HYPERLINK("http://dx.doi.org/10.1007/978-94-007-0782-5_10","http://dx.doi.org/10.1007/978-94-007-0782-5_10")</f>
        <v>http://dx.doi.org/10.1007/978-94-007-0782-5_10</v>
      </c>
      <c r="BG241" t="s">
        <v>74</v>
      </c>
      <c r="BH241" t="s">
        <v>74</v>
      </c>
      <c r="BI241" t="s">
        <v>74</v>
      </c>
      <c r="BJ241" t="s">
        <v>2444</v>
      </c>
      <c r="BK241" t="s">
        <v>2445</v>
      </c>
      <c r="BL241" t="s">
        <v>2446</v>
      </c>
      <c r="BM241" t="s">
        <v>74</v>
      </c>
      <c r="BN241">
        <v>21506015</v>
      </c>
      <c r="BO241" t="s">
        <v>74</v>
      </c>
      <c r="BP241" t="s">
        <v>74</v>
      </c>
      <c r="BQ241" t="s">
        <v>74</v>
      </c>
      <c r="BR241" t="s">
        <v>93</v>
      </c>
      <c r="BS241" t="s">
        <v>2447</v>
      </c>
      <c r="BT241" t="str">
        <f>HYPERLINK("https%3A%2F%2Fwww.webofscience.com%2Fwos%2Fwoscc%2Ffull-record%2FWOS:000290775400010","View Full Record in Web of Science")</f>
        <v>View Full Record in Web of Science</v>
      </c>
    </row>
    <row r="242" spans="1:72" x14ac:dyDescent="0.15">
      <c r="A242" t="s">
        <v>72</v>
      </c>
      <c r="B242" t="s">
        <v>4779</v>
      </c>
      <c r="C242" t="s">
        <v>74</v>
      </c>
      <c r="D242" t="s">
        <v>74</v>
      </c>
      <c r="E242" t="s">
        <v>74</v>
      </c>
      <c r="F242" t="s">
        <v>4780</v>
      </c>
      <c r="G242" t="s">
        <v>74</v>
      </c>
      <c r="H242" t="s">
        <v>74</v>
      </c>
      <c r="I242" t="s">
        <v>4781</v>
      </c>
      <c r="J242" t="s">
        <v>4782</v>
      </c>
      <c r="K242" t="s">
        <v>74</v>
      </c>
      <c r="L242" t="s">
        <v>74</v>
      </c>
      <c r="M242" t="s">
        <v>74</v>
      </c>
      <c r="N242" t="s">
        <v>78</v>
      </c>
      <c r="O242" t="s">
        <v>74</v>
      </c>
      <c r="P242" t="s">
        <v>74</v>
      </c>
      <c r="Q242" t="s">
        <v>74</v>
      </c>
      <c r="R242" t="s">
        <v>74</v>
      </c>
      <c r="S242" t="s">
        <v>74</v>
      </c>
      <c r="T242" t="s">
        <v>4783</v>
      </c>
      <c r="U242" t="s">
        <v>4784</v>
      </c>
      <c r="V242" t="s">
        <v>4785</v>
      </c>
      <c r="W242" t="s">
        <v>4786</v>
      </c>
      <c r="X242" t="s">
        <v>4787</v>
      </c>
      <c r="Y242" t="s">
        <v>4788</v>
      </c>
      <c r="Z242" t="s">
        <v>4789</v>
      </c>
      <c r="AA242" t="s">
        <v>4790</v>
      </c>
      <c r="AB242" t="s">
        <v>4791</v>
      </c>
      <c r="AC242" t="s">
        <v>74</v>
      </c>
      <c r="AD242" t="s">
        <v>74</v>
      </c>
      <c r="AE242" t="s">
        <v>74</v>
      </c>
      <c r="AF242" t="s">
        <v>74</v>
      </c>
      <c r="AG242">
        <v>55</v>
      </c>
      <c r="AH242">
        <v>26</v>
      </c>
      <c r="AI242">
        <v>28</v>
      </c>
      <c r="AJ242">
        <v>1</v>
      </c>
      <c r="AK242">
        <v>13</v>
      </c>
      <c r="AL242" t="s">
        <v>74</v>
      </c>
      <c r="AM242" t="s">
        <v>74</v>
      </c>
      <c r="AN242" t="s">
        <v>74</v>
      </c>
      <c r="AO242" t="s">
        <v>4792</v>
      </c>
      <c r="AP242" t="s">
        <v>4793</v>
      </c>
      <c r="AQ242" t="s">
        <v>74</v>
      </c>
      <c r="AR242" t="s">
        <v>74</v>
      </c>
      <c r="AS242" t="s">
        <v>74</v>
      </c>
      <c r="AT242" t="s">
        <v>4794</v>
      </c>
      <c r="AU242">
        <v>2016</v>
      </c>
      <c r="AV242">
        <v>259</v>
      </c>
      <c r="AW242" t="s">
        <v>74</v>
      </c>
      <c r="AX242" t="s">
        <v>74</v>
      </c>
      <c r="AY242" t="s">
        <v>74</v>
      </c>
      <c r="AZ242" t="s">
        <v>74</v>
      </c>
      <c r="BA242" t="s">
        <v>74</v>
      </c>
      <c r="BB242">
        <v>143</v>
      </c>
      <c r="BC242">
        <v>150</v>
      </c>
      <c r="BD242" t="s">
        <v>74</v>
      </c>
      <c r="BE242" t="s">
        <v>4795</v>
      </c>
      <c r="BF242" t="str">
        <f>HYPERLINK("http://dx.doi.org/10.1016/j.toxlet.2016.08.002","http://dx.doi.org/10.1016/j.toxlet.2016.08.002")</f>
        <v>http://dx.doi.org/10.1016/j.toxlet.2016.08.002</v>
      </c>
      <c r="BG242" t="s">
        <v>74</v>
      </c>
      <c r="BH242" t="s">
        <v>74</v>
      </c>
      <c r="BI242" t="s">
        <v>74</v>
      </c>
      <c r="BJ242" t="s">
        <v>4796</v>
      </c>
      <c r="BK242" t="s">
        <v>112</v>
      </c>
      <c r="BL242" t="s">
        <v>4796</v>
      </c>
      <c r="BM242" t="s">
        <v>74</v>
      </c>
      <c r="BN242">
        <v>27506416</v>
      </c>
      <c r="BO242" t="s">
        <v>74</v>
      </c>
      <c r="BP242" t="s">
        <v>74</v>
      </c>
      <c r="BQ242" t="s">
        <v>74</v>
      </c>
      <c r="BR242" t="s">
        <v>93</v>
      </c>
      <c r="BS242" t="s">
        <v>4797</v>
      </c>
      <c r="BT242" t="str">
        <f>HYPERLINK("https%3A%2F%2Fwww.webofscience.com%2Fwos%2Fwoscc%2Ffull-record%2FWOS:000385332000017","View Full Record in Web of Science")</f>
        <v>View Full Record in Web of Science</v>
      </c>
    </row>
    <row r="243" spans="1:72" x14ac:dyDescent="0.15">
      <c r="A243" t="s">
        <v>72</v>
      </c>
      <c r="B243" t="s">
        <v>6496</v>
      </c>
      <c r="C243" t="s">
        <v>74</v>
      </c>
      <c r="D243" t="s">
        <v>74</v>
      </c>
      <c r="E243" t="s">
        <v>74</v>
      </c>
      <c r="F243" t="s">
        <v>6497</v>
      </c>
      <c r="G243" t="s">
        <v>74</v>
      </c>
      <c r="H243" t="s">
        <v>74</v>
      </c>
      <c r="I243" t="s">
        <v>6498</v>
      </c>
      <c r="J243" t="s">
        <v>406</v>
      </c>
      <c r="K243" t="s">
        <v>74</v>
      </c>
      <c r="L243" t="s">
        <v>74</v>
      </c>
      <c r="M243" t="s">
        <v>74</v>
      </c>
      <c r="N243" t="s">
        <v>78</v>
      </c>
      <c r="O243" t="s">
        <v>74</v>
      </c>
      <c r="P243" t="s">
        <v>74</v>
      </c>
      <c r="Q243" t="s">
        <v>74</v>
      </c>
      <c r="R243" t="s">
        <v>74</v>
      </c>
      <c r="S243" t="s">
        <v>74</v>
      </c>
      <c r="T243" t="s">
        <v>6499</v>
      </c>
      <c r="U243" t="s">
        <v>6500</v>
      </c>
      <c r="V243" t="s">
        <v>6501</v>
      </c>
      <c r="W243" t="s">
        <v>6502</v>
      </c>
      <c r="X243" t="s">
        <v>6503</v>
      </c>
      <c r="Y243" t="s">
        <v>6504</v>
      </c>
      <c r="Z243" t="s">
        <v>6505</v>
      </c>
      <c r="AA243" t="s">
        <v>6506</v>
      </c>
      <c r="AB243" t="s">
        <v>6507</v>
      </c>
      <c r="AC243" t="s">
        <v>74</v>
      </c>
      <c r="AD243" t="s">
        <v>74</v>
      </c>
      <c r="AE243" t="s">
        <v>74</v>
      </c>
      <c r="AF243" t="s">
        <v>74</v>
      </c>
      <c r="AG243">
        <v>52</v>
      </c>
      <c r="AH243">
        <v>26</v>
      </c>
      <c r="AI243">
        <v>29</v>
      </c>
      <c r="AJ243">
        <v>0</v>
      </c>
      <c r="AK243">
        <v>3</v>
      </c>
      <c r="AL243" t="s">
        <v>74</v>
      </c>
      <c r="AM243" t="s">
        <v>74</v>
      </c>
      <c r="AN243" t="s">
        <v>74</v>
      </c>
      <c r="AO243" t="s">
        <v>74</v>
      </c>
      <c r="AP243" t="s">
        <v>416</v>
      </c>
      <c r="AQ243" t="s">
        <v>74</v>
      </c>
      <c r="AR243" t="s">
        <v>74</v>
      </c>
      <c r="AS243" t="s">
        <v>74</v>
      </c>
      <c r="AT243" t="s">
        <v>6508</v>
      </c>
      <c r="AU243">
        <v>2018</v>
      </c>
      <c r="AV243">
        <v>7</v>
      </c>
      <c r="AW243">
        <v>1</v>
      </c>
      <c r="AX243" t="s">
        <v>74</v>
      </c>
      <c r="AY243" t="s">
        <v>74</v>
      </c>
      <c r="AZ243" t="s">
        <v>74</v>
      </c>
      <c r="BA243" t="s">
        <v>74</v>
      </c>
      <c r="BB243" t="s">
        <v>74</v>
      </c>
      <c r="BC243" t="s">
        <v>74</v>
      </c>
      <c r="BD243">
        <v>1506198</v>
      </c>
      <c r="BE243" t="s">
        <v>6509</v>
      </c>
      <c r="BF243" t="str">
        <f>HYPERLINK("http://dx.doi.org/10.1080/20013078.2018.1506198","http://dx.doi.org/10.1080/20013078.2018.1506198")</f>
        <v>http://dx.doi.org/10.1080/20013078.2018.1506198</v>
      </c>
      <c r="BG243" t="s">
        <v>74</v>
      </c>
      <c r="BH243" t="s">
        <v>74</v>
      </c>
      <c r="BI243" t="s">
        <v>74</v>
      </c>
      <c r="BJ243" t="s">
        <v>419</v>
      </c>
      <c r="BK243" t="s">
        <v>112</v>
      </c>
      <c r="BL243" t="s">
        <v>419</v>
      </c>
      <c r="BM243" t="s">
        <v>74</v>
      </c>
      <c r="BN243">
        <v>30128086</v>
      </c>
      <c r="BO243" t="s">
        <v>74</v>
      </c>
      <c r="BP243" t="s">
        <v>74</v>
      </c>
      <c r="BQ243" t="s">
        <v>74</v>
      </c>
      <c r="BR243" t="s">
        <v>93</v>
      </c>
      <c r="BS243" t="s">
        <v>6510</v>
      </c>
      <c r="BT243" t="str">
        <f>HYPERLINK("https%3A%2F%2Fwww.webofscience.com%2Fwos%2Fwoscc%2Ffull-record%2FWOS:000441656000001","View Full Record in Web of Science")</f>
        <v>View Full Record in Web of Science</v>
      </c>
    </row>
    <row r="244" spans="1:72" x14ac:dyDescent="0.15">
      <c r="A244" t="s">
        <v>72</v>
      </c>
      <c r="B244" t="s">
        <v>7116</v>
      </c>
      <c r="C244" t="s">
        <v>74</v>
      </c>
      <c r="D244" t="s">
        <v>74</v>
      </c>
      <c r="E244" t="s">
        <v>74</v>
      </c>
      <c r="F244" t="s">
        <v>7117</v>
      </c>
      <c r="G244" t="s">
        <v>74</v>
      </c>
      <c r="H244" t="s">
        <v>74</v>
      </c>
      <c r="I244" t="s">
        <v>7118</v>
      </c>
      <c r="J244" t="s">
        <v>7119</v>
      </c>
      <c r="K244" t="s">
        <v>74</v>
      </c>
      <c r="L244" t="s">
        <v>74</v>
      </c>
      <c r="M244" t="s">
        <v>74</v>
      </c>
      <c r="N244" t="s">
        <v>78</v>
      </c>
      <c r="O244" t="s">
        <v>74</v>
      </c>
      <c r="P244" t="s">
        <v>74</v>
      </c>
      <c r="Q244" t="s">
        <v>74</v>
      </c>
      <c r="R244" t="s">
        <v>74</v>
      </c>
      <c r="S244" t="s">
        <v>74</v>
      </c>
      <c r="T244" t="s">
        <v>7120</v>
      </c>
      <c r="U244" t="s">
        <v>7121</v>
      </c>
      <c r="V244" t="s">
        <v>7122</v>
      </c>
      <c r="W244" t="s">
        <v>7123</v>
      </c>
      <c r="X244" t="s">
        <v>4390</v>
      </c>
      <c r="Y244" t="s">
        <v>7124</v>
      </c>
      <c r="Z244" t="s">
        <v>7125</v>
      </c>
      <c r="AA244" t="s">
        <v>74</v>
      </c>
      <c r="AB244" t="s">
        <v>74</v>
      </c>
      <c r="AC244" t="s">
        <v>74</v>
      </c>
      <c r="AD244" t="s">
        <v>74</v>
      </c>
      <c r="AE244" t="s">
        <v>74</v>
      </c>
      <c r="AF244" t="s">
        <v>74</v>
      </c>
      <c r="AG244">
        <v>47</v>
      </c>
      <c r="AH244">
        <v>26</v>
      </c>
      <c r="AI244">
        <v>29</v>
      </c>
      <c r="AJ244">
        <v>0</v>
      </c>
      <c r="AK244">
        <v>16</v>
      </c>
      <c r="AL244" t="s">
        <v>74</v>
      </c>
      <c r="AM244" t="s">
        <v>74</v>
      </c>
      <c r="AN244" t="s">
        <v>74</v>
      </c>
      <c r="AO244" t="s">
        <v>7126</v>
      </c>
      <c r="AP244" t="s">
        <v>7127</v>
      </c>
      <c r="AQ244" t="s">
        <v>74</v>
      </c>
      <c r="AR244" t="s">
        <v>74</v>
      </c>
      <c r="AS244" t="s">
        <v>74</v>
      </c>
      <c r="AT244" t="s">
        <v>659</v>
      </c>
      <c r="AU244">
        <v>2016</v>
      </c>
      <c r="AV244">
        <v>36</v>
      </c>
      <c r="AW244">
        <v>3</v>
      </c>
      <c r="AX244" t="s">
        <v>74</v>
      </c>
      <c r="AY244" t="s">
        <v>74</v>
      </c>
      <c r="AZ244" t="s">
        <v>74</v>
      </c>
      <c r="BA244" t="s">
        <v>74</v>
      </c>
      <c r="BB244">
        <v>557</v>
      </c>
      <c r="BC244" t="s">
        <v>109</v>
      </c>
      <c r="BD244" t="s">
        <v>74</v>
      </c>
      <c r="BE244" t="s">
        <v>7128</v>
      </c>
      <c r="BF244" t="str">
        <f>HYPERLINK("http://dx.doi.org/10.1016/j.cii.2016.05.003","http://dx.doi.org/10.1016/j.cii.2016.05.003")</f>
        <v>http://dx.doi.org/10.1016/j.cii.2016.05.003</v>
      </c>
      <c r="BG244" t="s">
        <v>74</v>
      </c>
      <c r="BH244" t="s">
        <v>74</v>
      </c>
      <c r="BI244" t="s">
        <v>74</v>
      </c>
      <c r="BJ244" t="s">
        <v>1214</v>
      </c>
      <c r="BK244" t="s">
        <v>112</v>
      </c>
      <c r="BL244" t="s">
        <v>1214</v>
      </c>
      <c r="BM244" t="s">
        <v>74</v>
      </c>
      <c r="BN244">
        <v>27514468</v>
      </c>
      <c r="BO244" t="s">
        <v>74</v>
      </c>
      <c r="BP244" t="s">
        <v>74</v>
      </c>
      <c r="BQ244" t="s">
        <v>74</v>
      </c>
      <c r="BR244" t="s">
        <v>93</v>
      </c>
      <c r="BS244" t="s">
        <v>7129</v>
      </c>
      <c r="BT244" t="str">
        <f>HYPERLINK("https%3A%2F%2Fwww.webofscience.com%2Fwos%2Fwoscc%2Ffull-record%2FWOS:000382802500009","View Full Record in Web of Science")</f>
        <v>View Full Record in Web of Science</v>
      </c>
    </row>
    <row r="245" spans="1:72" x14ac:dyDescent="0.15">
      <c r="A245" t="s">
        <v>72</v>
      </c>
      <c r="B245" t="s">
        <v>8962</v>
      </c>
      <c r="C245" t="s">
        <v>74</v>
      </c>
      <c r="D245" t="s">
        <v>74</v>
      </c>
      <c r="E245" t="s">
        <v>74</v>
      </c>
      <c r="F245" t="s">
        <v>8962</v>
      </c>
      <c r="G245" t="s">
        <v>74</v>
      </c>
      <c r="H245" t="s">
        <v>74</v>
      </c>
      <c r="I245" t="s">
        <v>8963</v>
      </c>
      <c r="J245" t="s">
        <v>8964</v>
      </c>
      <c r="K245" t="s">
        <v>74</v>
      </c>
      <c r="L245" t="s">
        <v>74</v>
      </c>
      <c r="M245" t="s">
        <v>74</v>
      </c>
      <c r="N245" t="s">
        <v>78</v>
      </c>
      <c r="O245" t="s">
        <v>74</v>
      </c>
      <c r="P245" t="s">
        <v>74</v>
      </c>
      <c r="Q245" t="s">
        <v>74</v>
      </c>
      <c r="R245" t="s">
        <v>74</v>
      </c>
      <c r="S245" t="s">
        <v>74</v>
      </c>
      <c r="T245" t="s">
        <v>74</v>
      </c>
      <c r="U245" t="s">
        <v>8965</v>
      </c>
      <c r="V245" t="s">
        <v>8966</v>
      </c>
      <c r="W245" t="s">
        <v>8967</v>
      </c>
      <c r="X245" t="s">
        <v>8968</v>
      </c>
      <c r="Y245" t="s">
        <v>74</v>
      </c>
      <c r="Z245" t="s">
        <v>74</v>
      </c>
      <c r="AA245" t="s">
        <v>74</v>
      </c>
      <c r="AB245" t="s">
        <v>74</v>
      </c>
      <c r="AC245" t="s">
        <v>74</v>
      </c>
      <c r="AD245" t="s">
        <v>74</v>
      </c>
      <c r="AE245" t="s">
        <v>74</v>
      </c>
      <c r="AF245" t="s">
        <v>74</v>
      </c>
      <c r="AG245">
        <v>60</v>
      </c>
      <c r="AH245">
        <v>26</v>
      </c>
      <c r="AI245">
        <v>26</v>
      </c>
      <c r="AJ245">
        <v>0</v>
      </c>
      <c r="AK245">
        <v>3</v>
      </c>
      <c r="AL245" t="s">
        <v>74</v>
      </c>
      <c r="AM245" t="s">
        <v>74</v>
      </c>
      <c r="AN245" t="s">
        <v>74</v>
      </c>
      <c r="AO245" t="s">
        <v>8969</v>
      </c>
      <c r="AP245" t="s">
        <v>74</v>
      </c>
      <c r="AQ245" t="s">
        <v>74</v>
      </c>
      <c r="AR245" t="s">
        <v>74</v>
      </c>
      <c r="AS245" t="s">
        <v>74</v>
      </c>
      <c r="AT245" t="s">
        <v>920</v>
      </c>
      <c r="AU245">
        <v>1994</v>
      </c>
      <c r="AV245">
        <v>84</v>
      </c>
      <c r="AW245">
        <v>7</v>
      </c>
      <c r="AX245" t="s">
        <v>74</v>
      </c>
      <c r="AY245" t="s">
        <v>74</v>
      </c>
      <c r="AZ245" t="s">
        <v>74</v>
      </c>
      <c r="BA245" t="s">
        <v>74</v>
      </c>
      <c r="BB245">
        <v>2182</v>
      </c>
      <c r="BC245">
        <v>2188</v>
      </c>
      <c r="BD245" t="s">
        <v>74</v>
      </c>
      <c r="BE245" t="s">
        <v>74</v>
      </c>
      <c r="BF245" t="s">
        <v>74</v>
      </c>
      <c r="BG245" t="s">
        <v>74</v>
      </c>
      <c r="BH245" t="s">
        <v>74</v>
      </c>
      <c r="BI245" t="s">
        <v>74</v>
      </c>
      <c r="BJ245" t="s">
        <v>1899</v>
      </c>
      <c r="BK245" t="s">
        <v>112</v>
      </c>
      <c r="BL245" t="s">
        <v>1899</v>
      </c>
      <c r="BM245" t="s">
        <v>74</v>
      </c>
      <c r="BN245">
        <v>7919334</v>
      </c>
      <c r="BO245" t="s">
        <v>74</v>
      </c>
      <c r="BP245" t="s">
        <v>74</v>
      </c>
      <c r="BQ245" t="s">
        <v>74</v>
      </c>
      <c r="BR245" t="s">
        <v>93</v>
      </c>
      <c r="BS245" t="s">
        <v>8970</v>
      </c>
      <c r="BT245" t="str">
        <f>HYPERLINK("https%3A%2F%2Fwww.webofscience.com%2Fwos%2Fwoscc%2Ffull-record%2FWOS:A1994PK12500015","View Full Record in Web of Science")</f>
        <v>View Full Record in Web of Science</v>
      </c>
    </row>
    <row r="246" spans="1:72" x14ac:dyDescent="0.15">
      <c r="A246" t="s">
        <v>72</v>
      </c>
      <c r="B246" t="s">
        <v>10428</v>
      </c>
      <c r="C246" t="s">
        <v>74</v>
      </c>
      <c r="D246" t="s">
        <v>74</v>
      </c>
      <c r="E246" t="s">
        <v>74</v>
      </c>
      <c r="F246" t="s">
        <v>10429</v>
      </c>
      <c r="G246" t="s">
        <v>74</v>
      </c>
      <c r="H246" t="s">
        <v>74</v>
      </c>
      <c r="I246" t="s">
        <v>10430</v>
      </c>
      <c r="J246" t="s">
        <v>2850</v>
      </c>
      <c r="K246" t="s">
        <v>74</v>
      </c>
      <c r="L246" t="s">
        <v>74</v>
      </c>
      <c r="M246" t="s">
        <v>74</v>
      </c>
      <c r="N246" t="s">
        <v>78</v>
      </c>
      <c r="O246" t="s">
        <v>74</v>
      </c>
      <c r="P246" t="s">
        <v>74</v>
      </c>
      <c r="Q246" t="s">
        <v>74</v>
      </c>
      <c r="R246" t="s">
        <v>74</v>
      </c>
      <c r="S246" t="s">
        <v>74</v>
      </c>
      <c r="T246" t="s">
        <v>74</v>
      </c>
      <c r="U246" t="s">
        <v>10431</v>
      </c>
      <c r="V246" t="s">
        <v>10432</v>
      </c>
      <c r="W246" t="s">
        <v>10433</v>
      </c>
      <c r="X246" t="s">
        <v>10434</v>
      </c>
      <c r="Y246" t="s">
        <v>10435</v>
      </c>
      <c r="Z246" t="s">
        <v>10436</v>
      </c>
      <c r="AA246" t="s">
        <v>10437</v>
      </c>
      <c r="AB246" t="s">
        <v>10438</v>
      </c>
      <c r="AC246" t="s">
        <v>74</v>
      </c>
      <c r="AD246" t="s">
        <v>74</v>
      </c>
      <c r="AE246" t="s">
        <v>74</v>
      </c>
      <c r="AF246" t="s">
        <v>74</v>
      </c>
      <c r="AG246">
        <v>80</v>
      </c>
      <c r="AH246">
        <v>26</v>
      </c>
      <c r="AI246">
        <v>26</v>
      </c>
      <c r="AJ246">
        <v>1</v>
      </c>
      <c r="AK246">
        <v>13</v>
      </c>
      <c r="AL246" t="s">
        <v>74</v>
      </c>
      <c r="AM246" t="s">
        <v>74</v>
      </c>
      <c r="AN246" t="s">
        <v>74</v>
      </c>
      <c r="AO246" t="s">
        <v>2859</v>
      </c>
      <c r="AP246" t="s">
        <v>74</v>
      </c>
      <c r="AQ246" t="s">
        <v>74</v>
      </c>
      <c r="AR246" t="s">
        <v>74</v>
      </c>
      <c r="AS246" t="s">
        <v>74</v>
      </c>
      <c r="AT246" t="s">
        <v>5833</v>
      </c>
      <c r="AU246">
        <v>2018</v>
      </c>
      <c r="AV246">
        <v>9</v>
      </c>
      <c r="AW246" t="s">
        <v>74</v>
      </c>
      <c r="AX246" t="s">
        <v>74</v>
      </c>
      <c r="AY246" t="s">
        <v>74</v>
      </c>
      <c r="AZ246" t="s">
        <v>74</v>
      </c>
      <c r="BA246" t="s">
        <v>74</v>
      </c>
      <c r="BB246" t="s">
        <v>74</v>
      </c>
      <c r="BC246" t="s">
        <v>74</v>
      </c>
      <c r="BD246">
        <v>2207</v>
      </c>
      <c r="BE246" t="s">
        <v>10439</v>
      </c>
      <c r="BF246" t="str">
        <f>HYPERLINK("http://dx.doi.org/10.1038/s41467-018-04442-y","http://dx.doi.org/10.1038/s41467-018-04442-y")</f>
        <v>http://dx.doi.org/10.1038/s41467-018-04442-y</v>
      </c>
      <c r="BG246" t="s">
        <v>74</v>
      </c>
      <c r="BH246" t="s">
        <v>74</v>
      </c>
      <c r="BI246" t="s">
        <v>74</v>
      </c>
      <c r="BJ246" t="s">
        <v>545</v>
      </c>
      <c r="BK246" t="s">
        <v>112</v>
      </c>
      <c r="BL246" t="s">
        <v>546</v>
      </c>
      <c r="BM246" t="s">
        <v>74</v>
      </c>
      <c r="BN246">
        <v>29880824</v>
      </c>
      <c r="BO246" t="s">
        <v>74</v>
      </c>
      <c r="BP246" t="s">
        <v>74</v>
      </c>
      <c r="BQ246" t="s">
        <v>74</v>
      </c>
      <c r="BR246" t="s">
        <v>93</v>
      </c>
      <c r="BS246" t="s">
        <v>10440</v>
      </c>
      <c r="BT246" t="str">
        <f>HYPERLINK("https%3A%2F%2Fwww.webofscience.com%2Fwos%2Fwoscc%2Ffull-record%2FWOS:000434379800004","View Full Record in Web of Science")</f>
        <v>View Full Record in Web of Science</v>
      </c>
    </row>
    <row r="247" spans="1:72" x14ac:dyDescent="0.15">
      <c r="A247" t="s">
        <v>72</v>
      </c>
      <c r="B247" t="s">
        <v>629</v>
      </c>
      <c r="C247" t="s">
        <v>74</v>
      </c>
      <c r="D247" t="s">
        <v>74</v>
      </c>
      <c r="E247" t="s">
        <v>74</v>
      </c>
      <c r="F247" t="s">
        <v>630</v>
      </c>
      <c r="G247" t="s">
        <v>74</v>
      </c>
      <c r="H247" t="s">
        <v>74</v>
      </c>
      <c r="I247" t="s">
        <v>631</v>
      </c>
      <c r="J247" t="s">
        <v>151</v>
      </c>
      <c r="K247" t="s">
        <v>74</v>
      </c>
      <c r="L247" t="s">
        <v>74</v>
      </c>
      <c r="M247" t="s">
        <v>74</v>
      </c>
      <c r="N247" t="s">
        <v>78</v>
      </c>
      <c r="O247" t="s">
        <v>74</v>
      </c>
      <c r="P247" t="s">
        <v>74</v>
      </c>
      <c r="Q247" t="s">
        <v>74</v>
      </c>
      <c r="R247" t="s">
        <v>74</v>
      </c>
      <c r="S247" t="s">
        <v>74</v>
      </c>
      <c r="T247" t="s">
        <v>632</v>
      </c>
      <c r="U247" t="s">
        <v>633</v>
      </c>
      <c r="V247" t="s">
        <v>634</v>
      </c>
      <c r="W247" t="s">
        <v>635</v>
      </c>
      <c r="X247" t="s">
        <v>636</v>
      </c>
      <c r="Y247" t="s">
        <v>637</v>
      </c>
      <c r="Z247" t="s">
        <v>638</v>
      </c>
      <c r="AA247" t="s">
        <v>74</v>
      </c>
      <c r="AB247" t="s">
        <v>639</v>
      </c>
      <c r="AC247" t="s">
        <v>74</v>
      </c>
      <c r="AD247" t="s">
        <v>74</v>
      </c>
      <c r="AE247" t="s">
        <v>74</v>
      </c>
      <c r="AF247" t="s">
        <v>74</v>
      </c>
      <c r="AG247">
        <v>43</v>
      </c>
      <c r="AH247">
        <v>25</v>
      </c>
      <c r="AI247">
        <v>25</v>
      </c>
      <c r="AJ247">
        <v>9</v>
      </c>
      <c r="AK247">
        <v>17</v>
      </c>
      <c r="AL247" t="s">
        <v>74</v>
      </c>
      <c r="AM247" t="s">
        <v>74</v>
      </c>
      <c r="AN247" t="s">
        <v>74</v>
      </c>
      <c r="AO247" t="s">
        <v>74</v>
      </c>
      <c r="AP247" t="s">
        <v>160</v>
      </c>
      <c r="AQ247" t="s">
        <v>74</v>
      </c>
      <c r="AR247" t="s">
        <v>74</v>
      </c>
      <c r="AS247" t="s">
        <v>74</v>
      </c>
      <c r="AT247" t="s">
        <v>640</v>
      </c>
      <c r="AU247">
        <v>2021</v>
      </c>
      <c r="AV247">
        <v>13</v>
      </c>
      <c r="AW247">
        <v>4</v>
      </c>
      <c r="AX247" t="s">
        <v>74</v>
      </c>
      <c r="AY247" t="s">
        <v>74</v>
      </c>
      <c r="AZ247" t="s">
        <v>74</v>
      </c>
      <c r="BA247" t="s">
        <v>74</v>
      </c>
      <c r="BB247" t="s">
        <v>74</v>
      </c>
      <c r="BC247" t="s">
        <v>74</v>
      </c>
      <c r="BD247">
        <v>780</v>
      </c>
      <c r="BE247" t="s">
        <v>641</v>
      </c>
      <c r="BF247" t="str">
        <f>HYPERLINK("http://dx.doi.org/10.3390/cancers13040780","http://dx.doi.org/10.3390/cancers13040780")</f>
        <v>http://dx.doi.org/10.3390/cancers13040780</v>
      </c>
      <c r="BG247" t="s">
        <v>74</v>
      </c>
      <c r="BH247" t="s">
        <v>74</v>
      </c>
      <c r="BI247" t="s">
        <v>74</v>
      </c>
      <c r="BJ247" t="s">
        <v>146</v>
      </c>
      <c r="BK247" t="s">
        <v>112</v>
      </c>
      <c r="BL247" t="s">
        <v>146</v>
      </c>
      <c r="BM247" t="s">
        <v>74</v>
      </c>
      <c r="BN247">
        <v>33668490</v>
      </c>
      <c r="BO247" t="s">
        <v>74</v>
      </c>
      <c r="BP247" t="s">
        <v>420</v>
      </c>
      <c r="BQ247" t="s">
        <v>421</v>
      </c>
      <c r="BR247" t="s">
        <v>93</v>
      </c>
      <c r="BS247" t="s">
        <v>642</v>
      </c>
      <c r="BT247" t="str">
        <f>HYPERLINK("https%3A%2F%2Fwww.webofscience.com%2Fwos%2Fwoscc%2Ffull-record%2FWOS:000623354700001","View Full Record in Web of Science")</f>
        <v>View Full Record in Web of Science</v>
      </c>
    </row>
    <row r="248" spans="1:72" x14ac:dyDescent="0.15">
      <c r="A248" t="s">
        <v>72</v>
      </c>
      <c r="B248" t="s">
        <v>2589</v>
      </c>
      <c r="C248" t="s">
        <v>74</v>
      </c>
      <c r="D248" t="s">
        <v>74</v>
      </c>
      <c r="E248" t="s">
        <v>74</v>
      </c>
      <c r="F248" t="s">
        <v>2590</v>
      </c>
      <c r="G248" t="s">
        <v>74</v>
      </c>
      <c r="H248" t="s">
        <v>74</v>
      </c>
      <c r="I248" t="s">
        <v>2591</v>
      </c>
      <c r="J248" t="s">
        <v>2592</v>
      </c>
      <c r="K248" t="s">
        <v>74</v>
      </c>
      <c r="L248" t="s">
        <v>74</v>
      </c>
      <c r="M248" t="s">
        <v>74</v>
      </c>
      <c r="N248" t="s">
        <v>78</v>
      </c>
      <c r="O248" t="s">
        <v>74</v>
      </c>
      <c r="P248" t="s">
        <v>74</v>
      </c>
      <c r="Q248" t="s">
        <v>74</v>
      </c>
      <c r="R248" t="s">
        <v>74</v>
      </c>
      <c r="S248" t="s">
        <v>74</v>
      </c>
      <c r="T248" t="s">
        <v>2593</v>
      </c>
      <c r="U248" t="s">
        <v>2594</v>
      </c>
      <c r="V248" t="s">
        <v>2595</v>
      </c>
      <c r="W248" t="s">
        <v>2596</v>
      </c>
      <c r="X248" t="s">
        <v>2597</v>
      </c>
      <c r="Y248" t="s">
        <v>2598</v>
      </c>
      <c r="Z248" t="s">
        <v>481</v>
      </c>
      <c r="AA248" t="s">
        <v>2599</v>
      </c>
      <c r="AB248" t="s">
        <v>2600</v>
      </c>
      <c r="AC248" t="s">
        <v>74</v>
      </c>
      <c r="AD248" t="s">
        <v>74</v>
      </c>
      <c r="AE248" t="s">
        <v>74</v>
      </c>
      <c r="AF248" t="s">
        <v>74</v>
      </c>
      <c r="AG248">
        <v>53</v>
      </c>
      <c r="AH248">
        <v>25</v>
      </c>
      <c r="AI248">
        <v>25</v>
      </c>
      <c r="AJ248">
        <v>3</v>
      </c>
      <c r="AK248">
        <v>17</v>
      </c>
      <c r="AL248" t="s">
        <v>74</v>
      </c>
      <c r="AM248" t="s">
        <v>74</v>
      </c>
      <c r="AN248" t="s">
        <v>74</v>
      </c>
      <c r="AO248" t="s">
        <v>2601</v>
      </c>
      <c r="AP248" t="s">
        <v>74</v>
      </c>
      <c r="AQ248" t="s">
        <v>74</v>
      </c>
      <c r="AR248" t="s">
        <v>74</v>
      </c>
      <c r="AS248" t="s">
        <v>74</v>
      </c>
      <c r="AT248" t="s">
        <v>1539</v>
      </c>
      <c r="AU248">
        <v>2019</v>
      </c>
      <c r="AV248">
        <v>17</v>
      </c>
      <c r="AW248" t="s">
        <v>74</v>
      </c>
      <c r="AX248" t="s">
        <v>74</v>
      </c>
      <c r="AY248" t="s">
        <v>74</v>
      </c>
      <c r="AZ248" t="s">
        <v>74</v>
      </c>
      <c r="BA248" t="s">
        <v>74</v>
      </c>
      <c r="BB248" t="s">
        <v>74</v>
      </c>
      <c r="BC248" t="s">
        <v>74</v>
      </c>
      <c r="BD248">
        <v>75</v>
      </c>
      <c r="BE248" t="s">
        <v>2602</v>
      </c>
      <c r="BF248" t="str">
        <f>HYPERLINK("http://dx.doi.org/10.1186/s12967-019-1825-3","http://dx.doi.org/10.1186/s12967-019-1825-3")</f>
        <v>http://dx.doi.org/10.1186/s12967-019-1825-3</v>
      </c>
      <c r="BG248" t="s">
        <v>74</v>
      </c>
      <c r="BH248" t="s">
        <v>74</v>
      </c>
      <c r="BI248" t="s">
        <v>74</v>
      </c>
      <c r="BJ248" t="s">
        <v>506</v>
      </c>
      <c r="BK248" t="s">
        <v>112</v>
      </c>
      <c r="BL248" t="s">
        <v>507</v>
      </c>
      <c r="BM248" t="s">
        <v>74</v>
      </c>
      <c r="BN248">
        <v>30871557</v>
      </c>
      <c r="BO248" t="s">
        <v>74</v>
      </c>
      <c r="BP248" t="s">
        <v>74</v>
      </c>
      <c r="BQ248" t="s">
        <v>74</v>
      </c>
      <c r="BR248" t="s">
        <v>93</v>
      </c>
      <c r="BS248" t="s">
        <v>2603</v>
      </c>
      <c r="BT248" t="str">
        <f>HYPERLINK("https%3A%2F%2Fwww.webofscience.com%2Fwos%2Fwoscc%2Ffull-record%2FWOS:000461326700001","View Full Record in Web of Science")</f>
        <v>View Full Record in Web of Science</v>
      </c>
    </row>
    <row r="249" spans="1:72" x14ac:dyDescent="0.15">
      <c r="A249" t="s">
        <v>72</v>
      </c>
      <c r="B249" t="s">
        <v>3919</v>
      </c>
      <c r="C249" t="s">
        <v>74</v>
      </c>
      <c r="D249" t="s">
        <v>74</v>
      </c>
      <c r="E249" t="s">
        <v>74</v>
      </c>
      <c r="F249" t="s">
        <v>3920</v>
      </c>
      <c r="G249" t="s">
        <v>74</v>
      </c>
      <c r="H249" t="s">
        <v>74</v>
      </c>
      <c r="I249" t="s">
        <v>3921</v>
      </c>
      <c r="J249" t="s">
        <v>3922</v>
      </c>
      <c r="K249" t="s">
        <v>74</v>
      </c>
      <c r="L249" t="s">
        <v>74</v>
      </c>
      <c r="M249" t="s">
        <v>74</v>
      </c>
      <c r="N249" t="s">
        <v>78</v>
      </c>
      <c r="O249" t="s">
        <v>74</v>
      </c>
      <c r="P249" t="s">
        <v>74</v>
      </c>
      <c r="Q249" t="s">
        <v>74</v>
      </c>
      <c r="R249" t="s">
        <v>74</v>
      </c>
      <c r="S249" t="s">
        <v>74</v>
      </c>
      <c r="T249" t="s">
        <v>3923</v>
      </c>
      <c r="U249" t="s">
        <v>3924</v>
      </c>
      <c r="V249" t="s">
        <v>3925</v>
      </c>
      <c r="W249" t="s">
        <v>3926</v>
      </c>
      <c r="X249" t="s">
        <v>3927</v>
      </c>
      <c r="Y249" t="s">
        <v>3928</v>
      </c>
      <c r="Z249" t="s">
        <v>3929</v>
      </c>
      <c r="AA249" t="s">
        <v>3930</v>
      </c>
      <c r="AB249" t="s">
        <v>3931</v>
      </c>
      <c r="AC249" t="s">
        <v>74</v>
      </c>
      <c r="AD249" t="s">
        <v>74</v>
      </c>
      <c r="AE249" t="s">
        <v>74</v>
      </c>
      <c r="AF249" t="s">
        <v>74</v>
      </c>
      <c r="AG249">
        <v>28</v>
      </c>
      <c r="AH249">
        <v>25</v>
      </c>
      <c r="AI249">
        <v>28</v>
      </c>
      <c r="AJ249">
        <v>0</v>
      </c>
      <c r="AK249">
        <v>5</v>
      </c>
      <c r="AL249" t="s">
        <v>74</v>
      </c>
      <c r="AM249" t="s">
        <v>74</v>
      </c>
      <c r="AN249" t="s">
        <v>74</v>
      </c>
      <c r="AO249" t="s">
        <v>3932</v>
      </c>
      <c r="AP249" t="s">
        <v>3933</v>
      </c>
      <c r="AQ249" t="s">
        <v>74</v>
      </c>
      <c r="AR249" t="s">
        <v>74</v>
      </c>
      <c r="AS249" t="s">
        <v>74</v>
      </c>
      <c r="AT249" t="s">
        <v>171</v>
      </c>
      <c r="AU249">
        <v>2006</v>
      </c>
      <c r="AV249">
        <v>17</v>
      </c>
      <c r="AW249">
        <v>8</v>
      </c>
      <c r="AX249" t="s">
        <v>74</v>
      </c>
      <c r="AY249" t="s">
        <v>74</v>
      </c>
      <c r="AZ249" t="s">
        <v>74</v>
      </c>
      <c r="BA249" t="s">
        <v>74</v>
      </c>
      <c r="BB249">
        <v>571</v>
      </c>
      <c r="BC249">
        <v>576</v>
      </c>
      <c r="BD249" t="s">
        <v>74</v>
      </c>
      <c r="BE249" t="s">
        <v>3934</v>
      </c>
      <c r="BF249" t="str">
        <f>HYPERLINK("http://dx.doi.org/10.1080/09537100600760244","http://dx.doi.org/10.1080/09537100600760244")</f>
        <v>http://dx.doi.org/10.1080/09537100600760244</v>
      </c>
      <c r="BG249" t="s">
        <v>74</v>
      </c>
      <c r="BH249" t="s">
        <v>74</v>
      </c>
      <c r="BI249" t="s">
        <v>74</v>
      </c>
      <c r="BJ249" t="s">
        <v>3935</v>
      </c>
      <c r="BK249" t="s">
        <v>112</v>
      </c>
      <c r="BL249" t="s">
        <v>3935</v>
      </c>
      <c r="BM249" t="s">
        <v>74</v>
      </c>
      <c r="BN249">
        <v>17127485</v>
      </c>
      <c r="BO249" t="s">
        <v>74</v>
      </c>
      <c r="BP249" t="s">
        <v>74</v>
      </c>
      <c r="BQ249" t="s">
        <v>74</v>
      </c>
      <c r="BR249" t="s">
        <v>93</v>
      </c>
      <c r="BS249" t="s">
        <v>3936</v>
      </c>
      <c r="BT249" t="str">
        <f>HYPERLINK("https%3A%2F%2Fwww.webofscience.com%2Fwos%2Fwoscc%2Ffull-record%2FWOS:000242939500008","View Full Record in Web of Science")</f>
        <v>View Full Record in Web of Science</v>
      </c>
    </row>
    <row r="250" spans="1:72" x14ac:dyDescent="0.15">
      <c r="A250" t="s">
        <v>72</v>
      </c>
      <c r="B250" t="s">
        <v>4260</v>
      </c>
      <c r="C250" t="s">
        <v>74</v>
      </c>
      <c r="D250" t="s">
        <v>74</v>
      </c>
      <c r="E250" t="s">
        <v>74</v>
      </c>
      <c r="F250" t="s">
        <v>4261</v>
      </c>
      <c r="G250" t="s">
        <v>74</v>
      </c>
      <c r="H250" t="s">
        <v>74</v>
      </c>
      <c r="I250" t="s">
        <v>4262</v>
      </c>
      <c r="J250" t="s">
        <v>568</v>
      </c>
      <c r="K250" t="s">
        <v>74</v>
      </c>
      <c r="L250" t="s">
        <v>74</v>
      </c>
      <c r="M250" t="s">
        <v>74</v>
      </c>
      <c r="N250" t="s">
        <v>78</v>
      </c>
      <c r="O250" t="s">
        <v>74</v>
      </c>
      <c r="P250" t="s">
        <v>74</v>
      </c>
      <c r="Q250" t="s">
        <v>74</v>
      </c>
      <c r="R250" t="s">
        <v>74</v>
      </c>
      <c r="S250" t="s">
        <v>74</v>
      </c>
      <c r="T250" t="s">
        <v>74</v>
      </c>
      <c r="U250" t="s">
        <v>4263</v>
      </c>
      <c r="V250" t="s">
        <v>4264</v>
      </c>
      <c r="W250" t="s">
        <v>4265</v>
      </c>
      <c r="X250" t="s">
        <v>4266</v>
      </c>
      <c r="Y250" t="s">
        <v>4267</v>
      </c>
      <c r="Z250" t="s">
        <v>4268</v>
      </c>
      <c r="AA250" t="s">
        <v>4269</v>
      </c>
      <c r="AB250" t="s">
        <v>4270</v>
      </c>
      <c r="AC250" t="s">
        <v>74</v>
      </c>
      <c r="AD250" t="s">
        <v>74</v>
      </c>
      <c r="AE250" t="s">
        <v>74</v>
      </c>
      <c r="AF250" t="s">
        <v>74</v>
      </c>
      <c r="AG250">
        <v>32</v>
      </c>
      <c r="AH250">
        <v>25</v>
      </c>
      <c r="AI250">
        <v>25</v>
      </c>
      <c r="AJ250">
        <v>0</v>
      </c>
      <c r="AK250">
        <v>6</v>
      </c>
      <c r="AL250" t="s">
        <v>74</v>
      </c>
      <c r="AM250" t="s">
        <v>74</v>
      </c>
      <c r="AN250" t="s">
        <v>74</v>
      </c>
      <c r="AO250" t="s">
        <v>577</v>
      </c>
      <c r="AP250" t="s">
        <v>74</v>
      </c>
      <c r="AQ250" t="s">
        <v>74</v>
      </c>
      <c r="AR250" t="s">
        <v>74</v>
      </c>
      <c r="AS250" t="s">
        <v>74</v>
      </c>
      <c r="AT250" t="s">
        <v>2539</v>
      </c>
      <c r="AU250">
        <v>2018</v>
      </c>
      <c r="AV250">
        <v>13</v>
      </c>
      <c r="AW250">
        <v>12</v>
      </c>
      <c r="AX250" t="s">
        <v>74</v>
      </c>
      <c r="AY250" t="s">
        <v>74</v>
      </c>
      <c r="AZ250" t="s">
        <v>74</v>
      </c>
      <c r="BA250" t="s">
        <v>74</v>
      </c>
      <c r="BB250" t="s">
        <v>74</v>
      </c>
      <c r="BC250" t="s">
        <v>74</v>
      </c>
      <c r="BD250" t="s">
        <v>4271</v>
      </c>
      <c r="BE250" t="s">
        <v>4272</v>
      </c>
      <c r="BF250" t="str">
        <f>HYPERLINK("http://dx.doi.org/10.1371/journal.pone.0205886","http://dx.doi.org/10.1371/journal.pone.0205886")</f>
        <v>http://dx.doi.org/10.1371/journal.pone.0205886</v>
      </c>
      <c r="BG250" t="s">
        <v>74</v>
      </c>
      <c r="BH250" t="s">
        <v>74</v>
      </c>
      <c r="BI250" t="s">
        <v>74</v>
      </c>
      <c r="BJ250" t="s">
        <v>545</v>
      </c>
      <c r="BK250" t="s">
        <v>112</v>
      </c>
      <c r="BL250" t="s">
        <v>546</v>
      </c>
      <c r="BM250" t="s">
        <v>74</v>
      </c>
      <c r="BN250">
        <v>30596665</v>
      </c>
      <c r="BO250" t="s">
        <v>74</v>
      </c>
      <c r="BP250" t="s">
        <v>74</v>
      </c>
      <c r="BQ250" t="s">
        <v>74</v>
      </c>
      <c r="BR250" t="s">
        <v>93</v>
      </c>
      <c r="BS250" t="s">
        <v>4273</v>
      </c>
      <c r="BT250" t="str">
        <f>HYPERLINK("https%3A%2F%2Fwww.webofscience.com%2Fwos%2Fwoscc%2Ffull-record%2FWOS:000454627200006","View Full Record in Web of Science")</f>
        <v>View Full Record in Web of Science</v>
      </c>
    </row>
    <row r="251" spans="1:72" x14ac:dyDescent="0.15">
      <c r="A251" t="s">
        <v>72</v>
      </c>
      <c r="B251" t="s">
        <v>5776</v>
      </c>
      <c r="C251" t="s">
        <v>74</v>
      </c>
      <c r="D251" t="s">
        <v>74</v>
      </c>
      <c r="E251" t="s">
        <v>74</v>
      </c>
      <c r="F251" t="s">
        <v>5777</v>
      </c>
      <c r="G251" t="s">
        <v>74</v>
      </c>
      <c r="H251" t="s">
        <v>74</v>
      </c>
      <c r="I251" t="s">
        <v>5778</v>
      </c>
      <c r="J251" t="s">
        <v>2013</v>
      </c>
      <c r="K251" t="s">
        <v>74</v>
      </c>
      <c r="L251" t="s">
        <v>74</v>
      </c>
      <c r="M251" t="s">
        <v>74</v>
      </c>
      <c r="N251" t="s">
        <v>78</v>
      </c>
      <c r="O251" t="s">
        <v>74</v>
      </c>
      <c r="P251" t="s">
        <v>74</v>
      </c>
      <c r="Q251" t="s">
        <v>74</v>
      </c>
      <c r="R251" t="s">
        <v>74</v>
      </c>
      <c r="S251" t="s">
        <v>74</v>
      </c>
      <c r="T251" t="s">
        <v>74</v>
      </c>
      <c r="U251" t="s">
        <v>5779</v>
      </c>
      <c r="V251" t="s">
        <v>5780</v>
      </c>
      <c r="W251" t="s">
        <v>5781</v>
      </c>
      <c r="X251" t="s">
        <v>5782</v>
      </c>
      <c r="Y251" t="s">
        <v>5783</v>
      </c>
      <c r="Z251" t="s">
        <v>5784</v>
      </c>
      <c r="AA251" t="s">
        <v>5785</v>
      </c>
      <c r="AB251" t="s">
        <v>5786</v>
      </c>
      <c r="AC251" t="s">
        <v>74</v>
      </c>
      <c r="AD251" t="s">
        <v>74</v>
      </c>
      <c r="AE251" t="s">
        <v>74</v>
      </c>
      <c r="AF251" t="s">
        <v>74</v>
      </c>
      <c r="AG251">
        <v>101</v>
      </c>
      <c r="AH251">
        <v>25</v>
      </c>
      <c r="AI251">
        <v>25</v>
      </c>
      <c r="AJ251">
        <v>26</v>
      </c>
      <c r="AK251">
        <v>104</v>
      </c>
      <c r="AL251" t="s">
        <v>74</v>
      </c>
      <c r="AM251" t="s">
        <v>74</v>
      </c>
      <c r="AN251" t="s">
        <v>74</v>
      </c>
      <c r="AO251" t="s">
        <v>2022</v>
      </c>
      <c r="AP251" t="s">
        <v>2023</v>
      </c>
      <c r="AQ251" t="s">
        <v>74</v>
      </c>
      <c r="AR251" t="s">
        <v>74</v>
      </c>
      <c r="AS251" t="s">
        <v>74</v>
      </c>
      <c r="AT251" t="s">
        <v>5164</v>
      </c>
      <c r="AU251">
        <v>2020</v>
      </c>
      <c r="AV251">
        <v>92</v>
      </c>
      <c r="AW251">
        <v>19</v>
      </c>
      <c r="AX251" t="s">
        <v>74</v>
      </c>
      <c r="AY251" t="s">
        <v>74</v>
      </c>
      <c r="AZ251" t="s">
        <v>74</v>
      </c>
      <c r="BA251" t="s">
        <v>74</v>
      </c>
      <c r="BB251">
        <v>12733</v>
      </c>
      <c r="BC251">
        <v>12740</v>
      </c>
      <c r="BD251" t="s">
        <v>74</v>
      </c>
      <c r="BE251" t="s">
        <v>5787</v>
      </c>
      <c r="BF251" t="str">
        <f>HYPERLINK("http://dx.doi.org/10.1021/acs.analchem.0c02745","http://dx.doi.org/10.1021/acs.analchem.0c02745")</f>
        <v>http://dx.doi.org/10.1021/acs.analchem.0c02745</v>
      </c>
      <c r="BG251" t="s">
        <v>74</v>
      </c>
      <c r="BH251" t="s">
        <v>74</v>
      </c>
      <c r="BI251" t="s">
        <v>74</v>
      </c>
      <c r="BJ251" t="s">
        <v>1196</v>
      </c>
      <c r="BK251" t="s">
        <v>112</v>
      </c>
      <c r="BL251" t="s">
        <v>1197</v>
      </c>
      <c r="BM251" t="s">
        <v>74</v>
      </c>
      <c r="BN251">
        <v>32902258</v>
      </c>
      <c r="BO251" t="s">
        <v>74</v>
      </c>
      <c r="BP251" t="s">
        <v>74</v>
      </c>
      <c r="BQ251" t="s">
        <v>74</v>
      </c>
      <c r="BR251" t="s">
        <v>93</v>
      </c>
      <c r="BS251" t="s">
        <v>5788</v>
      </c>
      <c r="BT251" t="str">
        <f>HYPERLINK("https%3A%2F%2Fwww.webofscience.com%2Fwos%2Fwoscc%2Ffull-record%2FWOS:000580426800001","View Full Record in Web of Science")</f>
        <v>View Full Record in Web of Science</v>
      </c>
    </row>
    <row r="252" spans="1:72" x14ac:dyDescent="0.15">
      <c r="A252" t="s">
        <v>72</v>
      </c>
      <c r="B252" t="s">
        <v>6796</v>
      </c>
      <c r="C252" t="s">
        <v>74</v>
      </c>
      <c r="D252" t="s">
        <v>74</v>
      </c>
      <c r="E252" t="s">
        <v>74</v>
      </c>
      <c r="F252" t="s">
        <v>6797</v>
      </c>
      <c r="G252" t="s">
        <v>74</v>
      </c>
      <c r="H252" t="s">
        <v>74</v>
      </c>
      <c r="I252" t="s">
        <v>6798</v>
      </c>
      <c r="J252" t="s">
        <v>2758</v>
      </c>
      <c r="K252" t="s">
        <v>74</v>
      </c>
      <c r="L252" t="s">
        <v>74</v>
      </c>
      <c r="M252" t="s">
        <v>74</v>
      </c>
      <c r="N252" t="s">
        <v>78</v>
      </c>
      <c r="O252" t="s">
        <v>74</v>
      </c>
      <c r="P252" t="s">
        <v>74</v>
      </c>
      <c r="Q252" t="s">
        <v>74</v>
      </c>
      <c r="R252" t="s">
        <v>74</v>
      </c>
      <c r="S252" t="s">
        <v>74</v>
      </c>
      <c r="T252" t="s">
        <v>6799</v>
      </c>
      <c r="U252" t="s">
        <v>6800</v>
      </c>
      <c r="V252" t="s">
        <v>6801</v>
      </c>
      <c r="W252" t="s">
        <v>6802</v>
      </c>
      <c r="X252" t="s">
        <v>6803</v>
      </c>
      <c r="Y252" t="s">
        <v>6804</v>
      </c>
      <c r="Z252" t="s">
        <v>6805</v>
      </c>
      <c r="AA252" t="s">
        <v>74</v>
      </c>
      <c r="AB252" t="s">
        <v>6806</v>
      </c>
      <c r="AC252" t="s">
        <v>74</v>
      </c>
      <c r="AD252" t="s">
        <v>74</v>
      </c>
      <c r="AE252" t="s">
        <v>74</v>
      </c>
      <c r="AF252" t="s">
        <v>74</v>
      </c>
      <c r="AG252">
        <v>27</v>
      </c>
      <c r="AH252">
        <v>25</v>
      </c>
      <c r="AI252">
        <v>25</v>
      </c>
      <c r="AJ252">
        <v>1</v>
      </c>
      <c r="AK252">
        <v>9</v>
      </c>
      <c r="AL252" t="s">
        <v>74</v>
      </c>
      <c r="AM252" t="s">
        <v>74</v>
      </c>
      <c r="AN252" t="s">
        <v>74</v>
      </c>
      <c r="AO252" t="s">
        <v>74</v>
      </c>
      <c r="AP252" t="s">
        <v>2767</v>
      </c>
      <c r="AQ252" t="s">
        <v>74</v>
      </c>
      <c r="AR252" t="s">
        <v>74</v>
      </c>
      <c r="AS252" t="s">
        <v>74</v>
      </c>
      <c r="AT252" t="s">
        <v>6807</v>
      </c>
      <c r="AU252">
        <v>2019</v>
      </c>
      <c r="AV252">
        <v>10</v>
      </c>
      <c r="AW252" t="s">
        <v>74</v>
      </c>
      <c r="AX252" t="s">
        <v>74</v>
      </c>
      <c r="AY252" t="s">
        <v>74</v>
      </c>
      <c r="AZ252" t="s">
        <v>74</v>
      </c>
      <c r="BA252" t="s">
        <v>74</v>
      </c>
      <c r="BB252" t="s">
        <v>74</v>
      </c>
      <c r="BC252" t="s">
        <v>74</v>
      </c>
      <c r="BD252">
        <v>860</v>
      </c>
      <c r="BE252" t="s">
        <v>6808</v>
      </c>
      <c r="BF252" t="str">
        <f>HYPERLINK("http://dx.doi.org/10.3389/fgene.2019.00860","http://dx.doi.org/10.3389/fgene.2019.00860")</f>
        <v>http://dx.doi.org/10.3389/fgene.2019.00860</v>
      </c>
      <c r="BG252" t="s">
        <v>74</v>
      </c>
      <c r="BH252" t="s">
        <v>74</v>
      </c>
      <c r="BI252" t="s">
        <v>74</v>
      </c>
      <c r="BJ252" t="s">
        <v>349</v>
      </c>
      <c r="BK252" t="s">
        <v>112</v>
      </c>
      <c r="BL252" t="s">
        <v>349</v>
      </c>
      <c r="BM252" t="s">
        <v>74</v>
      </c>
      <c r="BN252">
        <v>31611906</v>
      </c>
      <c r="BO252" t="s">
        <v>74</v>
      </c>
      <c r="BP252" t="s">
        <v>74</v>
      </c>
      <c r="BQ252" t="s">
        <v>74</v>
      </c>
      <c r="BR252" t="s">
        <v>93</v>
      </c>
      <c r="BS252" t="s">
        <v>6809</v>
      </c>
      <c r="BT252" t="str">
        <f>HYPERLINK("https%3A%2F%2Fwww.webofscience.com%2Fwos%2Fwoscc%2Ffull-record%2FWOS:000488084400001","View Full Record in Web of Science")</f>
        <v>View Full Record in Web of Science</v>
      </c>
    </row>
    <row r="253" spans="1:72" x14ac:dyDescent="0.15">
      <c r="A253" t="s">
        <v>72</v>
      </c>
      <c r="B253" t="s">
        <v>7566</v>
      </c>
      <c r="C253" t="s">
        <v>74</v>
      </c>
      <c r="D253" t="s">
        <v>74</v>
      </c>
      <c r="E253" t="s">
        <v>74</v>
      </c>
      <c r="F253" t="s">
        <v>7567</v>
      </c>
      <c r="G253" t="s">
        <v>74</v>
      </c>
      <c r="H253" t="s">
        <v>74</v>
      </c>
      <c r="I253" t="s">
        <v>7568</v>
      </c>
      <c r="J253" t="s">
        <v>2850</v>
      </c>
      <c r="K253" t="s">
        <v>74</v>
      </c>
      <c r="L253" t="s">
        <v>74</v>
      </c>
      <c r="M253" t="s">
        <v>74</v>
      </c>
      <c r="N253" t="s">
        <v>78</v>
      </c>
      <c r="O253" t="s">
        <v>74</v>
      </c>
      <c r="P253" t="s">
        <v>74</v>
      </c>
      <c r="Q253" t="s">
        <v>74</v>
      </c>
      <c r="R253" t="s">
        <v>74</v>
      </c>
      <c r="S253" t="s">
        <v>74</v>
      </c>
      <c r="T253" t="s">
        <v>74</v>
      </c>
      <c r="U253" t="s">
        <v>7569</v>
      </c>
      <c r="V253" t="s">
        <v>7570</v>
      </c>
      <c r="W253" t="s">
        <v>7571</v>
      </c>
      <c r="X253" t="s">
        <v>7572</v>
      </c>
      <c r="Y253" t="s">
        <v>7573</v>
      </c>
      <c r="Z253" t="s">
        <v>7574</v>
      </c>
      <c r="AA253" t="s">
        <v>7575</v>
      </c>
      <c r="AB253" t="s">
        <v>7576</v>
      </c>
      <c r="AC253" t="s">
        <v>74</v>
      </c>
      <c r="AD253" t="s">
        <v>74</v>
      </c>
      <c r="AE253" t="s">
        <v>74</v>
      </c>
      <c r="AF253" t="s">
        <v>74</v>
      </c>
      <c r="AG253">
        <v>101</v>
      </c>
      <c r="AH253">
        <v>25</v>
      </c>
      <c r="AI253">
        <v>25</v>
      </c>
      <c r="AJ253">
        <v>2</v>
      </c>
      <c r="AK253">
        <v>16</v>
      </c>
      <c r="AL253" t="s">
        <v>74</v>
      </c>
      <c r="AM253" t="s">
        <v>74</v>
      </c>
      <c r="AN253" t="s">
        <v>74</v>
      </c>
      <c r="AO253" t="s">
        <v>2859</v>
      </c>
      <c r="AP253" t="s">
        <v>74</v>
      </c>
      <c r="AQ253" t="s">
        <v>74</v>
      </c>
      <c r="AR253" t="s">
        <v>74</v>
      </c>
      <c r="AS253" t="s">
        <v>74</v>
      </c>
      <c r="AT253" t="s">
        <v>3660</v>
      </c>
      <c r="AU253">
        <v>2020</v>
      </c>
      <c r="AV253">
        <v>11</v>
      </c>
      <c r="AW253">
        <v>1</v>
      </c>
      <c r="AX253" t="s">
        <v>74</v>
      </c>
      <c r="AY253" t="s">
        <v>74</v>
      </c>
      <c r="AZ253" t="s">
        <v>74</v>
      </c>
      <c r="BA253" t="s">
        <v>74</v>
      </c>
      <c r="BB253" t="s">
        <v>74</v>
      </c>
      <c r="BC253" t="s">
        <v>74</v>
      </c>
      <c r="BD253">
        <v>42</v>
      </c>
      <c r="BE253" t="s">
        <v>7577</v>
      </c>
      <c r="BF253" t="str">
        <f>HYPERLINK("http://dx.doi.org/10.1038/s41467-019-13894-9","http://dx.doi.org/10.1038/s41467-019-13894-9")</f>
        <v>http://dx.doi.org/10.1038/s41467-019-13894-9</v>
      </c>
      <c r="BG253" t="s">
        <v>74</v>
      </c>
      <c r="BH253" t="s">
        <v>74</v>
      </c>
      <c r="BI253" t="s">
        <v>74</v>
      </c>
      <c r="BJ253" t="s">
        <v>545</v>
      </c>
      <c r="BK253" t="s">
        <v>112</v>
      </c>
      <c r="BL253" t="s">
        <v>546</v>
      </c>
      <c r="BM253" t="s">
        <v>74</v>
      </c>
      <c r="BN253">
        <v>31896748</v>
      </c>
      <c r="BO253" t="s">
        <v>74</v>
      </c>
      <c r="BP253" t="s">
        <v>74</v>
      </c>
      <c r="BQ253" t="s">
        <v>74</v>
      </c>
      <c r="BR253" t="s">
        <v>93</v>
      </c>
      <c r="BS253" t="s">
        <v>7578</v>
      </c>
      <c r="BT253" t="str">
        <f>HYPERLINK("https%3A%2F%2Fwww.webofscience.com%2Fwos%2Fwoscc%2Ffull-record%2FWOS:000551395800001","View Full Record in Web of Science")</f>
        <v>View Full Record in Web of Science</v>
      </c>
    </row>
    <row r="254" spans="1:72" x14ac:dyDescent="0.15">
      <c r="A254" t="s">
        <v>72</v>
      </c>
      <c r="B254" t="s">
        <v>8899</v>
      </c>
      <c r="C254" t="s">
        <v>74</v>
      </c>
      <c r="D254" t="s">
        <v>74</v>
      </c>
      <c r="E254" t="s">
        <v>74</v>
      </c>
      <c r="F254" t="s">
        <v>8900</v>
      </c>
      <c r="G254" t="s">
        <v>74</v>
      </c>
      <c r="H254" t="s">
        <v>74</v>
      </c>
      <c r="I254" t="s">
        <v>8901</v>
      </c>
      <c r="J254" t="s">
        <v>8902</v>
      </c>
      <c r="K254" t="s">
        <v>74</v>
      </c>
      <c r="L254" t="s">
        <v>74</v>
      </c>
      <c r="M254" t="s">
        <v>74</v>
      </c>
      <c r="N254" t="s">
        <v>78</v>
      </c>
      <c r="O254" t="s">
        <v>74</v>
      </c>
      <c r="P254" t="s">
        <v>74</v>
      </c>
      <c r="Q254" t="s">
        <v>74</v>
      </c>
      <c r="R254" t="s">
        <v>74</v>
      </c>
      <c r="S254" t="s">
        <v>74</v>
      </c>
      <c r="T254" t="s">
        <v>8903</v>
      </c>
      <c r="U254" t="s">
        <v>8904</v>
      </c>
      <c r="V254" t="s">
        <v>8905</v>
      </c>
      <c r="W254" t="s">
        <v>8906</v>
      </c>
      <c r="X254" t="s">
        <v>8907</v>
      </c>
      <c r="Y254" t="s">
        <v>8908</v>
      </c>
      <c r="Z254" t="s">
        <v>8909</v>
      </c>
      <c r="AA254" t="s">
        <v>74</v>
      </c>
      <c r="AB254" t="s">
        <v>74</v>
      </c>
      <c r="AC254" t="s">
        <v>74</v>
      </c>
      <c r="AD254" t="s">
        <v>74</v>
      </c>
      <c r="AE254" t="s">
        <v>74</v>
      </c>
      <c r="AF254" t="s">
        <v>74</v>
      </c>
      <c r="AG254">
        <v>33</v>
      </c>
      <c r="AH254">
        <v>25</v>
      </c>
      <c r="AI254">
        <v>26</v>
      </c>
      <c r="AJ254">
        <v>0</v>
      </c>
      <c r="AK254">
        <v>8</v>
      </c>
      <c r="AL254" t="s">
        <v>74</v>
      </c>
      <c r="AM254" t="s">
        <v>74</v>
      </c>
      <c r="AN254" t="s">
        <v>74</v>
      </c>
      <c r="AO254" t="s">
        <v>8910</v>
      </c>
      <c r="AP254" t="s">
        <v>8911</v>
      </c>
      <c r="AQ254" t="s">
        <v>74</v>
      </c>
      <c r="AR254" t="s">
        <v>74</v>
      </c>
      <c r="AS254" t="s">
        <v>74</v>
      </c>
      <c r="AT254" t="s">
        <v>1111</v>
      </c>
      <c r="AU254">
        <v>2011</v>
      </c>
      <c r="AV254">
        <v>76</v>
      </c>
      <c r="AW254" t="s">
        <v>8065</v>
      </c>
      <c r="AX254" t="s">
        <v>74</v>
      </c>
      <c r="AY254" t="s">
        <v>74</v>
      </c>
      <c r="AZ254" t="s">
        <v>74</v>
      </c>
      <c r="BA254" t="s">
        <v>74</v>
      </c>
      <c r="BB254">
        <v>117</v>
      </c>
      <c r="BC254">
        <v>129</v>
      </c>
      <c r="BD254" t="s">
        <v>74</v>
      </c>
      <c r="BE254" t="s">
        <v>8912</v>
      </c>
      <c r="BF254" t="str">
        <f>HYPERLINK("http://dx.doi.org/10.1007/s11103-011-9773-1","http://dx.doi.org/10.1007/s11103-011-9773-1")</f>
        <v>http://dx.doi.org/10.1007/s11103-011-9773-1</v>
      </c>
      <c r="BG254" t="s">
        <v>74</v>
      </c>
      <c r="BH254" t="s">
        <v>74</v>
      </c>
      <c r="BI254" t="s">
        <v>74</v>
      </c>
      <c r="BJ254" t="s">
        <v>8913</v>
      </c>
      <c r="BK254" t="s">
        <v>112</v>
      </c>
      <c r="BL254" t="s">
        <v>8913</v>
      </c>
      <c r="BM254" t="s">
        <v>74</v>
      </c>
      <c r="BN254">
        <v>21461976</v>
      </c>
      <c r="BO254" t="s">
        <v>74</v>
      </c>
      <c r="BP254" t="s">
        <v>74</v>
      </c>
      <c r="BQ254" t="s">
        <v>74</v>
      </c>
      <c r="BR254" t="s">
        <v>93</v>
      </c>
      <c r="BS254" t="s">
        <v>8914</v>
      </c>
      <c r="BT254" t="str">
        <f>HYPERLINK("https%3A%2F%2Fwww.webofscience.com%2Fwos%2Fwoscc%2Ffull-record%2FWOS:000290771800009","View Full Record in Web of Science")</f>
        <v>View Full Record in Web of Science</v>
      </c>
    </row>
    <row r="255" spans="1:72" x14ac:dyDescent="0.15">
      <c r="A255" t="s">
        <v>72</v>
      </c>
      <c r="B255" t="s">
        <v>9053</v>
      </c>
      <c r="C255" t="s">
        <v>74</v>
      </c>
      <c r="D255" t="s">
        <v>74</v>
      </c>
      <c r="E255" t="s">
        <v>74</v>
      </c>
      <c r="F255" t="s">
        <v>9054</v>
      </c>
      <c r="G255" t="s">
        <v>74</v>
      </c>
      <c r="H255" t="s">
        <v>74</v>
      </c>
      <c r="I255" t="s">
        <v>9055</v>
      </c>
      <c r="J255" t="s">
        <v>667</v>
      </c>
      <c r="K255" t="s">
        <v>74</v>
      </c>
      <c r="L255" t="s">
        <v>74</v>
      </c>
      <c r="M255" t="s">
        <v>74</v>
      </c>
      <c r="N255" t="s">
        <v>78</v>
      </c>
      <c r="O255" t="s">
        <v>74</v>
      </c>
      <c r="P255" t="s">
        <v>74</v>
      </c>
      <c r="Q255" t="s">
        <v>74</v>
      </c>
      <c r="R255" t="s">
        <v>74</v>
      </c>
      <c r="S255" t="s">
        <v>74</v>
      </c>
      <c r="T255" t="s">
        <v>9056</v>
      </c>
      <c r="U255" t="s">
        <v>9057</v>
      </c>
      <c r="V255" t="s">
        <v>9058</v>
      </c>
      <c r="W255" t="s">
        <v>9059</v>
      </c>
      <c r="X255" t="s">
        <v>9060</v>
      </c>
      <c r="Y255" t="s">
        <v>9061</v>
      </c>
      <c r="Z255" t="s">
        <v>9062</v>
      </c>
      <c r="AA255" t="s">
        <v>9063</v>
      </c>
      <c r="AB255" t="s">
        <v>9064</v>
      </c>
      <c r="AC255" t="s">
        <v>74</v>
      </c>
      <c r="AD255" t="s">
        <v>74</v>
      </c>
      <c r="AE255" t="s">
        <v>74</v>
      </c>
      <c r="AF255" t="s">
        <v>74</v>
      </c>
      <c r="AG255">
        <v>45</v>
      </c>
      <c r="AH255">
        <v>25</v>
      </c>
      <c r="AI255">
        <v>27</v>
      </c>
      <c r="AJ255">
        <v>0</v>
      </c>
      <c r="AK255">
        <v>11</v>
      </c>
      <c r="AL255" t="s">
        <v>74</v>
      </c>
      <c r="AM255" t="s">
        <v>74</v>
      </c>
      <c r="AN255" t="s">
        <v>74</v>
      </c>
      <c r="AO255" t="s">
        <v>74</v>
      </c>
      <c r="AP255" t="s">
        <v>677</v>
      </c>
      <c r="AQ255" t="s">
        <v>74</v>
      </c>
      <c r="AR255" t="s">
        <v>74</v>
      </c>
      <c r="AS255" t="s">
        <v>74</v>
      </c>
      <c r="AT255" t="s">
        <v>1111</v>
      </c>
      <c r="AU255">
        <v>2017</v>
      </c>
      <c r="AV255">
        <v>18</v>
      </c>
      <c r="AW255">
        <v>5</v>
      </c>
      <c r="AX255" t="s">
        <v>74</v>
      </c>
      <c r="AY255" t="s">
        <v>74</v>
      </c>
      <c r="AZ255" t="s">
        <v>74</v>
      </c>
      <c r="BA255" t="s">
        <v>74</v>
      </c>
      <c r="BB255" t="s">
        <v>74</v>
      </c>
      <c r="BC255" t="s">
        <v>74</v>
      </c>
      <c r="BD255">
        <v>1035</v>
      </c>
      <c r="BE255" t="s">
        <v>9065</v>
      </c>
      <c r="BF255" t="str">
        <f>HYPERLINK("http://dx.doi.org/10.3390/ijms18051035","http://dx.doi.org/10.3390/ijms18051035")</f>
        <v>http://dx.doi.org/10.3390/ijms18051035</v>
      </c>
      <c r="BG255" t="s">
        <v>74</v>
      </c>
      <c r="BH255" t="s">
        <v>74</v>
      </c>
      <c r="BI255" t="s">
        <v>74</v>
      </c>
      <c r="BJ255" t="s">
        <v>680</v>
      </c>
      <c r="BK255" t="s">
        <v>112</v>
      </c>
      <c r="BL255" t="s">
        <v>681</v>
      </c>
      <c r="BM255" t="s">
        <v>74</v>
      </c>
      <c r="BN255">
        <v>28492516</v>
      </c>
      <c r="BO255" t="s">
        <v>74</v>
      </c>
      <c r="BP255" t="s">
        <v>74</v>
      </c>
      <c r="BQ255" t="s">
        <v>74</v>
      </c>
      <c r="BR255" t="s">
        <v>93</v>
      </c>
      <c r="BS255" t="s">
        <v>9066</v>
      </c>
      <c r="BT255" t="str">
        <f>HYPERLINK("https%3A%2F%2Fwww.webofscience.com%2Fwos%2Fwoscc%2Ffull-record%2FWOS:000404113900141","View Full Record in Web of Science")</f>
        <v>View Full Record in Web of Science</v>
      </c>
    </row>
    <row r="256" spans="1:72" x14ac:dyDescent="0.15">
      <c r="A256" t="s">
        <v>72</v>
      </c>
      <c r="B256" t="s">
        <v>10015</v>
      </c>
      <c r="C256" t="s">
        <v>74</v>
      </c>
      <c r="D256" t="s">
        <v>74</v>
      </c>
      <c r="E256" t="s">
        <v>74</v>
      </c>
      <c r="F256" t="s">
        <v>10016</v>
      </c>
      <c r="G256" t="s">
        <v>74</v>
      </c>
      <c r="H256" t="s">
        <v>74</v>
      </c>
      <c r="I256" t="s">
        <v>10017</v>
      </c>
      <c r="J256" t="s">
        <v>929</v>
      </c>
      <c r="K256" t="s">
        <v>74</v>
      </c>
      <c r="L256" t="s">
        <v>74</v>
      </c>
      <c r="M256" t="s">
        <v>74</v>
      </c>
      <c r="N256" t="s">
        <v>78</v>
      </c>
      <c r="O256" t="s">
        <v>74</v>
      </c>
      <c r="P256" t="s">
        <v>74</v>
      </c>
      <c r="Q256" t="s">
        <v>74</v>
      </c>
      <c r="R256" t="s">
        <v>74</v>
      </c>
      <c r="S256" t="s">
        <v>74</v>
      </c>
      <c r="T256" t="s">
        <v>74</v>
      </c>
      <c r="U256" t="s">
        <v>10018</v>
      </c>
      <c r="V256" t="s">
        <v>10019</v>
      </c>
      <c r="W256" t="s">
        <v>10020</v>
      </c>
      <c r="X256" t="s">
        <v>10021</v>
      </c>
      <c r="Y256" t="s">
        <v>10022</v>
      </c>
      <c r="Z256" t="s">
        <v>10023</v>
      </c>
      <c r="AA256" t="s">
        <v>10024</v>
      </c>
      <c r="AB256" t="s">
        <v>10025</v>
      </c>
      <c r="AC256" t="s">
        <v>74</v>
      </c>
      <c r="AD256" t="s">
        <v>74</v>
      </c>
      <c r="AE256" t="s">
        <v>74</v>
      </c>
      <c r="AF256" t="s">
        <v>74</v>
      </c>
      <c r="AG256">
        <v>66</v>
      </c>
      <c r="AH256">
        <v>25</v>
      </c>
      <c r="AI256">
        <v>27</v>
      </c>
      <c r="AJ256">
        <v>0</v>
      </c>
      <c r="AK256">
        <v>13</v>
      </c>
      <c r="AL256" t="s">
        <v>74</v>
      </c>
      <c r="AM256" t="s">
        <v>74</v>
      </c>
      <c r="AN256" t="s">
        <v>74</v>
      </c>
      <c r="AO256" t="s">
        <v>74</v>
      </c>
      <c r="AP256" t="s">
        <v>940</v>
      </c>
      <c r="AQ256" t="s">
        <v>74</v>
      </c>
      <c r="AR256" t="s">
        <v>74</v>
      </c>
      <c r="AS256" t="s">
        <v>74</v>
      </c>
      <c r="AT256" t="s">
        <v>10026</v>
      </c>
      <c r="AU256">
        <v>2008</v>
      </c>
      <c r="AV256">
        <v>283</v>
      </c>
      <c r="AW256">
        <v>8</v>
      </c>
      <c r="AX256" t="s">
        <v>74</v>
      </c>
      <c r="AY256" t="s">
        <v>74</v>
      </c>
      <c r="AZ256" t="s">
        <v>74</v>
      </c>
      <c r="BA256" t="s">
        <v>74</v>
      </c>
      <c r="BB256">
        <v>5034</v>
      </c>
      <c r="BC256">
        <v>5045</v>
      </c>
      <c r="BD256" t="s">
        <v>74</v>
      </c>
      <c r="BE256" t="s">
        <v>10027</v>
      </c>
      <c r="BF256" t="str">
        <f>HYPERLINK("http://dx.doi.org/10.1074/jbc.M708844200","http://dx.doi.org/10.1074/jbc.M708844200")</f>
        <v>http://dx.doi.org/10.1074/jbc.M708844200</v>
      </c>
      <c r="BG256" t="s">
        <v>74</v>
      </c>
      <c r="BH256" t="s">
        <v>74</v>
      </c>
      <c r="BI256" t="s">
        <v>74</v>
      </c>
      <c r="BJ256" t="s">
        <v>92</v>
      </c>
      <c r="BK256" t="s">
        <v>112</v>
      </c>
      <c r="BL256" t="s">
        <v>92</v>
      </c>
      <c r="BM256" t="s">
        <v>74</v>
      </c>
      <c r="BN256">
        <v>18089561</v>
      </c>
      <c r="BO256" t="s">
        <v>74</v>
      </c>
      <c r="BP256" t="s">
        <v>74</v>
      </c>
      <c r="BQ256" t="s">
        <v>74</v>
      </c>
      <c r="BR256" t="s">
        <v>93</v>
      </c>
      <c r="BS256" t="s">
        <v>10028</v>
      </c>
      <c r="BT256" t="str">
        <f>HYPERLINK("https%3A%2F%2Fwww.webofscience.com%2Fwos%2Fwoscc%2Ffull-record%2FWOS:000253426500061","View Full Record in Web of Science")</f>
        <v>View Full Record in Web of Science</v>
      </c>
    </row>
    <row r="257" spans="1:72" x14ac:dyDescent="0.15">
      <c r="A257" t="s">
        <v>72</v>
      </c>
      <c r="B257" t="s">
        <v>10962</v>
      </c>
      <c r="C257" t="s">
        <v>74</v>
      </c>
      <c r="D257" t="s">
        <v>74</v>
      </c>
      <c r="E257" t="s">
        <v>74</v>
      </c>
      <c r="F257" t="s">
        <v>10963</v>
      </c>
      <c r="G257" t="s">
        <v>74</v>
      </c>
      <c r="H257" t="s">
        <v>74</v>
      </c>
      <c r="I257" t="s">
        <v>10964</v>
      </c>
      <c r="J257" t="s">
        <v>10965</v>
      </c>
      <c r="K257" t="s">
        <v>74</v>
      </c>
      <c r="L257" t="s">
        <v>74</v>
      </c>
      <c r="M257" t="s">
        <v>74</v>
      </c>
      <c r="N257" t="s">
        <v>78</v>
      </c>
      <c r="O257" t="s">
        <v>74</v>
      </c>
      <c r="P257" t="s">
        <v>74</v>
      </c>
      <c r="Q257" t="s">
        <v>74</v>
      </c>
      <c r="R257" t="s">
        <v>74</v>
      </c>
      <c r="S257" t="s">
        <v>74</v>
      </c>
      <c r="T257" t="s">
        <v>10966</v>
      </c>
      <c r="U257" t="s">
        <v>10967</v>
      </c>
      <c r="V257" t="s">
        <v>10968</v>
      </c>
      <c r="W257" t="s">
        <v>10969</v>
      </c>
      <c r="X257" t="s">
        <v>10970</v>
      </c>
      <c r="Y257" t="s">
        <v>10971</v>
      </c>
      <c r="Z257" t="s">
        <v>10972</v>
      </c>
      <c r="AA257" t="s">
        <v>74</v>
      </c>
      <c r="AB257" t="s">
        <v>74</v>
      </c>
      <c r="AC257" t="s">
        <v>74</v>
      </c>
      <c r="AD257" t="s">
        <v>74</v>
      </c>
      <c r="AE257" t="s">
        <v>74</v>
      </c>
      <c r="AF257" t="s">
        <v>74</v>
      </c>
      <c r="AG257">
        <v>29</v>
      </c>
      <c r="AH257">
        <v>25</v>
      </c>
      <c r="AI257">
        <v>28</v>
      </c>
      <c r="AJ257">
        <v>0</v>
      </c>
      <c r="AK257">
        <v>4</v>
      </c>
      <c r="AL257" t="s">
        <v>74</v>
      </c>
      <c r="AM257" t="s">
        <v>74</v>
      </c>
      <c r="AN257" t="s">
        <v>74</v>
      </c>
      <c r="AO257" t="s">
        <v>10973</v>
      </c>
      <c r="AP257" t="s">
        <v>10974</v>
      </c>
      <c r="AQ257" t="s">
        <v>74</v>
      </c>
      <c r="AR257" t="s">
        <v>74</v>
      </c>
      <c r="AS257" t="s">
        <v>74</v>
      </c>
      <c r="AT257" t="s">
        <v>74</v>
      </c>
      <c r="AU257">
        <v>2008</v>
      </c>
      <c r="AV257">
        <v>45</v>
      </c>
      <c r="AW257">
        <v>1</v>
      </c>
      <c r="AX257" t="s">
        <v>74</v>
      </c>
      <c r="AY257" t="s">
        <v>74</v>
      </c>
      <c r="AZ257" t="s">
        <v>74</v>
      </c>
      <c r="BA257" t="s">
        <v>74</v>
      </c>
      <c r="BB257">
        <v>19</v>
      </c>
      <c r="BC257">
        <v>32</v>
      </c>
      <c r="BD257" t="s">
        <v>74</v>
      </c>
      <c r="BE257" t="s">
        <v>10975</v>
      </c>
      <c r="BF257" t="str">
        <f>HYPERLINK("http://dx.doi.org/10.1159/000109074","http://dx.doi.org/10.1159/000109074")</f>
        <v>http://dx.doi.org/10.1159/000109074</v>
      </c>
      <c r="BG257" t="s">
        <v>74</v>
      </c>
      <c r="BH257" t="s">
        <v>74</v>
      </c>
      <c r="BI257" t="s">
        <v>74</v>
      </c>
      <c r="BJ257" t="s">
        <v>10976</v>
      </c>
      <c r="BK257" t="s">
        <v>112</v>
      </c>
      <c r="BL257" t="s">
        <v>10977</v>
      </c>
      <c r="BM257" t="s">
        <v>74</v>
      </c>
      <c r="BN257">
        <v>17898544</v>
      </c>
      <c r="BO257" t="s">
        <v>74</v>
      </c>
      <c r="BP257" t="s">
        <v>74</v>
      </c>
      <c r="BQ257" t="s">
        <v>74</v>
      </c>
      <c r="BR257" t="s">
        <v>93</v>
      </c>
      <c r="BS257" t="s">
        <v>10978</v>
      </c>
      <c r="BT257" t="str">
        <f>HYPERLINK("https%3A%2F%2Fwww.webofscience.com%2Fwos%2Fwoscc%2Ffull-record%2FWOS:000251436500003","View Full Record in Web of Science")</f>
        <v>View Full Record in Web of Science</v>
      </c>
    </row>
    <row r="258" spans="1:72" x14ac:dyDescent="0.15">
      <c r="A258" t="s">
        <v>72</v>
      </c>
      <c r="B258" t="s">
        <v>5275</v>
      </c>
      <c r="C258" t="s">
        <v>74</v>
      </c>
      <c r="D258" t="s">
        <v>74</v>
      </c>
      <c r="E258" t="s">
        <v>74</v>
      </c>
      <c r="F258" t="s">
        <v>5276</v>
      </c>
      <c r="G258" t="s">
        <v>74</v>
      </c>
      <c r="H258" t="s">
        <v>74</v>
      </c>
      <c r="I258" t="s">
        <v>5277</v>
      </c>
      <c r="J258" t="s">
        <v>568</v>
      </c>
      <c r="K258" t="s">
        <v>74</v>
      </c>
      <c r="L258" t="s">
        <v>74</v>
      </c>
      <c r="M258" t="s">
        <v>74</v>
      </c>
      <c r="N258" t="s">
        <v>78</v>
      </c>
      <c r="O258" t="s">
        <v>74</v>
      </c>
      <c r="P258" t="s">
        <v>74</v>
      </c>
      <c r="Q258" t="s">
        <v>74</v>
      </c>
      <c r="R258" t="s">
        <v>74</v>
      </c>
      <c r="S258" t="s">
        <v>74</v>
      </c>
      <c r="T258" t="s">
        <v>74</v>
      </c>
      <c r="U258" t="s">
        <v>5278</v>
      </c>
      <c r="V258" t="s">
        <v>5279</v>
      </c>
      <c r="W258" t="s">
        <v>5280</v>
      </c>
      <c r="X258" t="s">
        <v>5281</v>
      </c>
      <c r="Y258" t="s">
        <v>5282</v>
      </c>
      <c r="Z258" t="s">
        <v>5283</v>
      </c>
      <c r="AA258" t="s">
        <v>5284</v>
      </c>
      <c r="AB258" t="s">
        <v>5285</v>
      </c>
      <c r="AC258" t="s">
        <v>74</v>
      </c>
      <c r="AD258" t="s">
        <v>74</v>
      </c>
      <c r="AE258" t="s">
        <v>74</v>
      </c>
      <c r="AF258" t="s">
        <v>74</v>
      </c>
      <c r="AG258">
        <v>81</v>
      </c>
      <c r="AH258">
        <v>24</v>
      </c>
      <c r="AI258">
        <v>24</v>
      </c>
      <c r="AJ258">
        <v>0</v>
      </c>
      <c r="AK258">
        <v>7</v>
      </c>
      <c r="AL258" t="s">
        <v>74</v>
      </c>
      <c r="AM258" t="s">
        <v>74</v>
      </c>
      <c r="AN258" t="s">
        <v>74</v>
      </c>
      <c r="AO258" t="s">
        <v>577</v>
      </c>
      <c r="AP258" t="s">
        <v>74</v>
      </c>
      <c r="AQ258" t="s">
        <v>74</v>
      </c>
      <c r="AR258" t="s">
        <v>74</v>
      </c>
      <c r="AS258" t="s">
        <v>74</v>
      </c>
      <c r="AT258" t="s">
        <v>5286</v>
      </c>
      <c r="AU258">
        <v>2016</v>
      </c>
      <c r="AV258">
        <v>11</v>
      </c>
      <c r="AW258">
        <v>8</v>
      </c>
      <c r="AX258" t="s">
        <v>74</v>
      </c>
      <c r="AY258" t="s">
        <v>74</v>
      </c>
      <c r="AZ258" t="s">
        <v>74</v>
      </c>
      <c r="BA258" t="s">
        <v>74</v>
      </c>
      <c r="BB258" t="s">
        <v>74</v>
      </c>
      <c r="BC258" t="s">
        <v>74</v>
      </c>
      <c r="BD258" t="s">
        <v>5287</v>
      </c>
      <c r="BE258" t="s">
        <v>5288</v>
      </c>
      <c r="BF258" t="str">
        <f>HYPERLINK("http://dx.doi.org/10.1371/journal.pone.0161824","http://dx.doi.org/10.1371/journal.pone.0161824")</f>
        <v>http://dx.doi.org/10.1371/journal.pone.0161824</v>
      </c>
      <c r="BG258" t="s">
        <v>74</v>
      </c>
      <c r="BH258" t="s">
        <v>74</v>
      </c>
      <c r="BI258" t="s">
        <v>74</v>
      </c>
      <c r="BJ258" t="s">
        <v>545</v>
      </c>
      <c r="BK258" t="s">
        <v>112</v>
      </c>
      <c r="BL258" t="s">
        <v>546</v>
      </c>
      <c r="BM258" t="s">
        <v>74</v>
      </c>
      <c r="BN258">
        <v>27579604</v>
      </c>
      <c r="BO258" t="s">
        <v>74</v>
      </c>
      <c r="BP258" t="s">
        <v>74</v>
      </c>
      <c r="BQ258" t="s">
        <v>74</v>
      </c>
      <c r="BR258" t="s">
        <v>93</v>
      </c>
      <c r="BS258" t="s">
        <v>5289</v>
      </c>
      <c r="BT258" t="str">
        <f>HYPERLINK("https%3A%2F%2Fwww.webofscience.com%2Fwos%2Fwoscc%2Ffull-record%2FWOS:000382877400043","View Full Record in Web of Science")</f>
        <v>View Full Record in Web of Science</v>
      </c>
    </row>
    <row r="259" spans="1:72" x14ac:dyDescent="0.15">
      <c r="A259" t="s">
        <v>72</v>
      </c>
      <c r="B259" t="s">
        <v>5559</v>
      </c>
      <c r="C259" t="s">
        <v>74</v>
      </c>
      <c r="D259" t="s">
        <v>74</v>
      </c>
      <c r="E259" t="s">
        <v>74</v>
      </c>
      <c r="F259" t="s">
        <v>5560</v>
      </c>
      <c r="G259" t="s">
        <v>74</v>
      </c>
      <c r="H259" t="s">
        <v>74</v>
      </c>
      <c r="I259" t="s">
        <v>5561</v>
      </c>
      <c r="J259" t="s">
        <v>5562</v>
      </c>
      <c r="K259" t="s">
        <v>74</v>
      </c>
      <c r="L259" t="s">
        <v>74</v>
      </c>
      <c r="M259" t="s">
        <v>74</v>
      </c>
      <c r="N259" t="s">
        <v>78</v>
      </c>
      <c r="O259" t="s">
        <v>74</v>
      </c>
      <c r="P259" t="s">
        <v>74</v>
      </c>
      <c r="Q259" t="s">
        <v>74</v>
      </c>
      <c r="R259" t="s">
        <v>74</v>
      </c>
      <c r="S259" t="s">
        <v>74</v>
      </c>
      <c r="T259" t="s">
        <v>74</v>
      </c>
      <c r="U259" t="s">
        <v>5563</v>
      </c>
      <c r="V259" t="s">
        <v>5564</v>
      </c>
      <c r="W259" t="s">
        <v>5565</v>
      </c>
      <c r="X259" t="s">
        <v>5566</v>
      </c>
      <c r="Y259" t="s">
        <v>5567</v>
      </c>
      <c r="Z259" t="s">
        <v>5568</v>
      </c>
      <c r="AA259" t="s">
        <v>5569</v>
      </c>
      <c r="AB259" t="s">
        <v>5570</v>
      </c>
      <c r="AC259" t="s">
        <v>74</v>
      </c>
      <c r="AD259" t="s">
        <v>74</v>
      </c>
      <c r="AE259" t="s">
        <v>74</v>
      </c>
      <c r="AF259" t="s">
        <v>74</v>
      </c>
      <c r="AG259">
        <v>61</v>
      </c>
      <c r="AH259">
        <v>24</v>
      </c>
      <c r="AI259">
        <v>25</v>
      </c>
      <c r="AJ259">
        <v>2</v>
      </c>
      <c r="AK259">
        <v>15</v>
      </c>
      <c r="AL259" t="s">
        <v>74</v>
      </c>
      <c r="AM259" t="s">
        <v>74</v>
      </c>
      <c r="AN259" t="s">
        <v>74</v>
      </c>
      <c r="AO259" t="s">
        <v>5571</v>
      </c>
      <c r="AP259" t="s">
        <v>5572</v>
      </c>
      <c r="AQ259" t="s">
        <v>74</v>
      </c>
      <c r="AR259" t="s">
        <v>74</v>
      </c>
      <c r="AS259" t="s">
        <v>74</v>
      </c>
      <c r="AT259" t="s">
        <v>1808</v>
      </c>
      <c r="AU259">
        <v>2018</v>
      </c>
      <c r="AV259">
        <v>26</v>
      </c>
      <c r="AW259">
        <v>4</v>
      </c>
      <c r="AX259" t="s">
        <v>74</v>
      </c>
      <c r="AY259" t="s">
        <v>74</v>
      </c>
      <c r="AZ259" t="s">
        <v>74</v>
      </c>
      <c r="BA259" t="s">
        <v>74</v>
      </c>
      <c r="BB259">
        <v>1020</v>
      </c>
      <c r="BC259">
        <v>1031</v>
      </c>
      <c r="BD259" t="s">
        <v>74</v>
      </c>
      <c r="BE259" t="s">
        <v>5573</v>
      </c>
      <c r="BF259" t="str">
        <f>HYPERLINK("http://dx.doi.org/10.1016/j.ymthe.2018.02.018","http://dx.doi.org/10.1016/j.ymthe.2018.02.018")</f>
        <v>http://dx.doi.org/10.1016/j.ymthe.2018.02.018</v>
      </c>
      <c r="BG259" t="s">
        <v>74</v>
      </c>
      <c r="BH259" t="s">
        <v>74</v>
      </c>
      <c r="BI259" t="s">
        <v>74</v>
      </c>
      <c r="BJ259" t="s">
        <v>5574</v>
      </c>
      <c r="BK259" t="s">
        <v>112</v>
      </c>
      <c r="BL259" t="s">
        <v>5575</v>
      </c>
      <c r="BM259" t="s">
        <v>74</v>
      </c>
      <c r="BN259">
        <v>29550075</v>
      </c>
      <c r="BO259" t="s">
        <v>74</v>
      </c>
      <c r="BP259" t="s">
        <v>74</v>
      </c>
      <c r="BQ259" t="s">
        <v>74</v>
      </c>
      <c r="BR259" t="s">
        <v>93</v>
      </c>
      <c r="BS259" t="s">
        <v>5576</v>
      </c>
      <c r="BT259" t="str">
        <f>HYPERLINK("https%3A%2F%2Fwww.webofscience.com%2Fwos%2Fwoscc%2Ffull-record%2FWOS:000431483400011","View Full Record in Web of Science")</f>
        <v>View Full Record in Web of Science</v>
      </c>
    </row>
    <row r="260" spans="1:72" x14ac:dyDescent="0.15">
      <c r="A260" t="s">
        <v>72</v>
      </c>
      <c r="B260" t="s">
        <v>7728</v>
      </c>
      <c r="C260" t="s">
        <v>74</v>
      </c>
      <c r="D260" t="s">
        <v>74</v>
      </c>
      <c r="E260" t="s">
        <v>74</v>
      </c>
      <c r="F260" t="s">
        <v>7729</v>
      </c>
      <c r="G260" t="s">
        <v>74</v>
      </c>
      <c r="H260" t="s">
        <v>74</v>
      </c>
      <c r="I260" t="s">
        <v>7730</v>
      </c>
      <c r="J260" t="s">
        <v>1137</v>
      </c>
      <c r="K260" t="s">
        <v>74</v>
      </c>
      <c r="L260" t="s">
        <v>74</v>
      </c>
      <c r="M260" t="s">
        <v>74</v>
      </c>
      <c r="N260" t="s">
        <v>78</v>
      </c>
      <c r="O260" t="s">
        <v>74</v>
      </c>
      <c r="P260" t="s">
        <v>74</v>
      </c>
      <c r="Q260" t="s">
        <v>74</v>
      </c>
      <c r="R260" t="s">
        <v>74</v>
      </c>
      <c r="S260" t="s">
        <v>74</v>
      </c>
      <c r="T260" t="s">
        <v>7731</v>
      </c>
      <c r="U260" t="s">
        <v>7732</v>
      </c>
      <c r="V260" t="s">
        <v>7733</v>
      </c>
      <c r="W260" t="s">
        <v>7734</v>
      </c>
      <c r="X260" t="s">
        <v>7735</v>
      </c>
      <c r="Y260" t="s">
        <v>7736</v>
      </c>
      <c r="Z260" t="s">
        <v>7737</v>
      </c>
      <c r="AA260" t="s">
        <v>74</v>
      </c>
      <c r="AB260" t="s">
        <v>7738</v>
      </c>
      <c r="AC260" t="s">
        <v>74</v>
      </c>
      <c r="AD260" t="s">
        <v>74</v>
      </c>
      <c r="AE260" t="s">
        <v>74</v>
      </c>
      <c r="AF260" t="s">
        <v>74</v>
      </c>
      <c r="AG260">
        <v>30</v>
      </c>
      <c r="AH260">
        <v>24</v>
      </c>
      <c r="AI260">
        <v>24</v>
      </c>
      <c r="AJ260">
        <v>24</v>
      </c>
      <c r="AK260">
        <v>166</v>
      </c>
      <c r="AL260" t="s">
        <v>74</v>
      </c>
      <c r="AM260" t="s">
        <v>74</v>
      </c>
      <c r="AN260" t="s">
        <v>74</v>
      </c>
      <c r="AO260" t="s">
        <v>1147</v>
      </c>
      <c r="AP260" t="s">
        <v>74</v>
      </c>
      <c r="AQ260" t="s">
        <v>74</v>
      </c>
      <c r="AR260" t="s">
        <v>74</v>
      </c>
      <c r="AS260" t="s">
        <v>74</v>
      </c>
      <c r="AT260" t="s">
        <v>7739</v>
      </c>
      <c r="AU260">
        <v>2020</v>
      </c>
      <c r="AV260">
        <v>5</v>
      </c>
      <c r="AW260">
        <v>7</v>
      </c>
      <c r="AX260" t="s">
        <v>74</v>
      </c>
      <c r="AY260" t="s">
        <v>74</v>
      </c>
      <c r="AZ260" t="s">
        <v>74</v>
      </c>
      <c r="BA260" t="s">
        <v>74</v>
      </c>
      <c r="BB260">
        <v>2052</v>
      </c>
      <c r="BC260">
        <v>2060</v>
      </c>
      <c r="BD260" t="s">
        <v>74</v>
      </c>
      <c r="BE260" t="s">
        <v>7740</v>
      </c>
      <c r="BF260" t="str">
        <f>HYPERLINK("http://dx.doi.org/10.1021/acssensors.0c00513","http://dx.doi.org/10.1021/acssensors.0c00513")</f>
        <v>http://dx.doi.org/10.1021/acssensors.0c00513</v>
      </c>
      <c r="BG260" t="s">
        <v>74</v>
      </c>
      <c r="BH260" t="s">
        <v>74</v>
      </c>
      <c r="BI260" t="s">
        <v>74</v>
      </c>
      <c r="BJ260" t="s">
        <v>1149</v>
      </c>
      <c r="BK260" t="s">
        <v>112</v>
      </c>
      <c r="BL260" t="s">
        <v>1150</v>
      </c>
      <c r="BM260" t="s">
        <v>74</v>
      </c>
      <c r="BN260">
        <v>32594744</v>
      </c>
      <c r="BO260" t="s">
        <v>74</v>
      </c>
      <c r="BP260" t="s">
        <v>74</v>
      </c>
      <c r="BQ260" t="s">
        <v>74</v>
      </c>
      <c r="BR260" t="s">
        <v>93</v>
      </c>
      <c r="BS260" t="s">
        <v>7741</v>
      </c>
      <c r="BT260" t="str">
        <f>HYPERLINK("https%3A%2F%2Fwww.webofscience.com%2Fwos%2Fwoscc%2Ffull-record%2FWOS:000573554900026","View Full Record in Web of Science")</f>
        <v>View Full Record in Web of Science</v>
      </c>
    </row>
    <row r="261" spans="1:72" x14ac:dyDescent="0.15">
      <c r="A261" t="s">
        <v>72</v>
      </c>
      <c r="B261" t="s">
        <v>1996</v>
      </c>
      <c r="C261" t="s">
        <v>74</v>
      </c>
      <c r="D261" t="s">
        <v>74</v>
      </c>
      <c r="E261" t="s">
        <v>74</v>
      </c>
      <c r="F261" t="s">
        <v>1997</v>
      </c>
      <c r="G261" t="s">
        <v>74</v>
      </c>
      <c r="H261" t="s">
        <v>74</v>
      </c>
      <c r="I261" t="s">
        <v>1998</v>
      </c>
      <c r="J261" t="s">
        <v>1576</v>
      </c>
      <c r="K261" t="s">
        <v>74</v>
      </c>
      <c r="L261" t="s">
        <v>74</v>
      </c>
      <c r="M261" t="s">
        <v>74</v>
      </c>
      <c r="N261" t="s">
        <v>78</v>
      </c>
      <c r="O261" t="s">
        <v>74</v>
      </c>
      <c r="P261" t="s">
        <v>74</v>
      </c>
      <c r="Q261" t="s">
        <v>74</v>
      </c>
      <c r="R261" t="s">
        <v>74</v>
      </c>
      <c r="S261" t="s">
        <v>74</v>
      </c>
      <c r="T261" t="s">
        <v>1999</v>
      </c>
      <c r="U261" t="s">
        <v>2000</v>
      </c>
      <c r="V261" t="s">
        <v>2001</v>
      </c>
      <c r="W261" t="s">
        <v>2002</v>
      </c>
      <c r="X261" t="s">
        <v>2003</v>
      </c>
      <c r="Y261" t="s">
        <v>2004</v>
      </c>
      <c r="Z261" t="s">
        <v>2005</v>
      </c>
      <c r="AA261" t="s">
        <v>2006</v>
      </c>
      <c r="AB261" t="s">
        <v>2007</v>
      </c>
      <c r="AC261" t="s">
        <v>74</v>
      </c>
      <c r="AD261" t="s">
        <v>74</v>
      </c>
      <c r="AE261" t="s">
        <v>74</v>
      </c>
      <c r="AF261" t="s">
        <v>74</v>
      </c>
      <c r="AG261">
        <v>34</v>
      </c>
      <c r="AH261">
        <v>23</v>
      </c>
      <c r="AI261">
        <v>23</v>
      </c>
      <c r="AJ261">
        <v>2</v>
      </c>
      <c r="AK261">
        <v>11</v>
      </c>
      <c r="AL261" t="s">
        <v>74</v>
      </c>
      <c r="AM261" t="s">
        <v>74</v>
      </c>
      <c r="AN261" t="s">
        <v>74</v>
      </c>
      <c r="AO261" t="s">
        <v>74</v>
      </c>
      <c r="AP261" t="s">
        <v>1586</v>
      </c>
      <c r="AQ261" t="s">
        <v>74</v>
      </c>
      <c r="AR261" t="s">
        <v>74</v>
      </c>
      <c r="AS261" t="s">
        <v>74</v>
      </c>
      <c r="AT261" t="s">
        <v>1111</v>
      </c>
      <c r="AU261">
        <v>2020</v>
      </c>
      <c r="AV261">
        <v>8</v>
      </c>
      <c r="AW261">
        <v>5</v>
      </c>
      <c r="AX261" t="s">
        <v>74</v>
      </c>
      <c r="AY261" t="s">
        <v>74</v>
      </c>
      <c r="AZ261" t="s">
        <v>74</v>
      </c>
      <c r="BA261" t="s">
        <v>74</v>
      </c>
      <c r="BB261" t="s">
        <v>74</v>
      </c>
      <c r="BC261" t="s">
        <v>74</v>
      </c>
      <c r="BD261">
        <v>131</v>
      </c>
      <c r="BE261" t="s">
        <v>2008</v>
      </c>
      <c r="BF261" t="str">
        <f>HYPERLINK("http://dx.doi.org/10.3390/biomedicines8050131","http://dx.doi.org/10.3390/biomedicines8050131")</f>
        <v>http://dx.doi.org/10.3390/biomedicines8050131</v>
      </c>
      <c r="BG261" t="s">
        <v>74</v>
      </c>
      <c r="BH261" t="s">
        <v>74</v>
      </c>
      <c r="BI261" t="s">
        <v>74</v>
      </c>
      <c r="BJ261" t="s">
        <v>1588</v>
      </c>
      <c r="BK261" t="s">
        <v>112</v>
      </c>
      <c r="BL261" t="s">
        <v>1589</v>
      </c>
      <c r="BM261" t="s">
        <v>74</v>
      </c>
      <c r="BN261">
        <v>32455948</v>
      </c>
      <c r="BO261" t="s">
        <v>74</v>
      </c>
      <c r="BP261" t="s">
        <v>74</v>
      </c>
      <c r="BQ261" t="s">
        <v>74</v>
      </c>
      <c r="BR261" t="s">
        <v>93</v>
      </c>
      <c r="BS261" t="s">
        <v>2009</v>
      </c>
      <c r="BT261" t="str">
        <f>HYPERLINK("https%3A%2F%2Fwww.webofscience.com%2Fwos%2Fwoscc%2Ffull-record%2FWOS:000540842200035","View Full Record in Web of Science")</f>
        <v>View Full Record in Web of Science</v>
      </c>
    </row>
    <row r="262" spans="1:72" x14ac:dyDescent="0.15">
      <c r="A262" t="s">
        <v>72</v>
      </c>
      <c r="B262" t="s">
        <v>4019</v>
      </c>
      <c r="C262" t="s">
        <v>74</v>
      </c>
      <c r="D262" t="s">
        <v>74</v>
      </c>
      <c r="E262" t="s">
        <v>74</v>
      </c>
      <c r="F262" t="s">
        <v>4020</v>
      </c>
      <c r="G262" t="s">
        <v>74</v>
      </c>
      <c r="H262" t="s">
        <v>74</v>
      </c>
      <c r="I262" t="s">
        <v>4021</v>
      </c>
      <c r="J262" t="s">
        <v>4022</v>
      </c>
      <c r="K262" t="s">
        <v>74</v>
      </c>
      <c r="L262" t="s">
        <v>74</v>
      </c>
      <c r="M262" t="s">
        <v>74</v>
      </c>
      <c r="N262" t="s">
        <v>78</v>
      </c>
      <c r="O262" t="s">
        <v>74</v>
      </c>
      <c r="P262" t="s">
        <v>74</v>
      </c>
      <c r="Q262" t="s">
        <v>74</v>
      </c>
      <c r="R262" t="s">
        <v>74</v>
      </c>
      <c r="S262" t="s">
        <v>74</v>
      </c>
      <c r="T262" t="s">
        <v>4023</v>
      </c>
      <c r="U262" t="s">
        <v>4024</v>
      </c>
      <c r="V262" t="s">
        <v>4025</v>
      </c>
      <c r="W262" t="s">
        <v>4026</v>
      </c>
      <c r="X262" t="s">
        <v>4027</v>
      </c>
      <c r="Y262" t="s">
        <v>4028</v>
      </c>
      <c r="Z262" t="s">
        <v>4029</v>
      </c>
      <c r="AA262" t="s">
        <v>4030</v>
      </c>
      <c r="AB262" t="s">
        <v>4031</v>
      </c>
      <c r="AC262" t="s">
        <v>74</v>
      </c>
      <c r="AD262" t="s">
        <v>74</v>
      </c>
      <c r="AE262" t="s">
        <v>74</v>
      </c>
      <c r="AF262" t="s">
        <v>74</v>
      </c>
      <c r="AG262">
        <v>102</v>
      </c>
      <c r="AH262">
        <v>23</v>
      </c>
      <c r="AI262">
        <v>26</v>
      </c>
      <c r="AJ262">
        <v>0</v>
      </c>
      <c r="AK262">
        <v>35</v>
      </c>
      <c r="AL262" t="s">
        <v>74</v>
      </c>
      <c r="AM262" t="s">
        <v>74</v>
      </c>
      <c r="AN262" t="s">
        <v>74</v>
      </c>
      <c r="AO262" t="s">
        <v>4032</v>
      </c>
      <c r="AP262" t="s">
        <v>4033</v>
      </c>
      <c r="AQ262" t="s">
        <v>74</v>
      </c>
      <c r="AR262" t="s">
        <v>74</v>
      </c>
      <c r="AS262" t="s">
        <v>74</v>
      </c>
      <c r="AT262" t="s">
        <v>659</v>
      </c>
      <c r="AU262">
        <v>2017</v>
      </c>
      <c r="AV262">
        <v>26</v>
      </c>
      <c r="AW262">
        <v>3</v>
      </c>
      <c r="AX262" t="s">
        <v>74</v>
      </c>
      <c r="AY262" t="s">
        <v>74</v>
      </c>
      <c r="AZ262" t="s">
        <v>74</v>
      </c>
      <c r="BA262" t="s">
        <v>74</v>
      </c>
      <c r="BB262">
        <v>219</v>
      </c>
      <c r="BC262">
        <v>228</v>
      </c>
      <c r="BD262" t="s">
        <v>74</v>
      </c>
      <c r="BE262" t="s">
        <v>4034</v>
      </c>
      <c r="BF262" t="str">
        <f>HYPERLINK("http://dx.doi.org/10.1016/j.suronc.2017.04.005","http://dx.doi.org/10.1016/j.suronc.2017.04.005")</f>
        <v>http://dx.doi.org/10.1016/j.suronc.2017.04.005</v>
      </c>
      <c r="BG262" t="s">
        <v>74</v>
      </c>
      <c r="BH262" t="s">
        <v>74</v>
      </c>
      <c r="BI262" t="s">
        <v>74</v>
      </c>
      <c r="BJ262" t="s">
        <v>4035</v>
      </c>
      <c r="BK262" t="s">
        <v>112</v>
      </c>
      <c r="BL262" t="s">
        <v>4035</v>
      </c>
      <c r="BM262" t="s">
        <v>74</v>
      </c>
      <c r="BN262">
        <v>28807240</v>
      </c>
      <c r="BO262" t="s">
        <v>74</v>
      </c>
      <c r="BP262" t="s">
        <v>74</v>
      </c>
      <c r="BQ262" t="s">
        <v>74</v>
      </c>
      <c r="BR262" t="s">
        <v>93</v>
      </c>
      <c r="BS262" t="s">
        <v>4036</v>
      </c>
      <c r="BT262" t="str">
        <f>HYPERLINK("https%3A%2F%2Fwww.webofscience.com%2Fwos%2Fwoscc%2Ffull-record%2FWOS:000410652800001","View Full Record in Web of Science")</f>
        <v>View Full Record in Web of Science</v>
      </c>
    </row>
    <row r="263" spans="1:72" x14ac:dyDescent="0.15">
      <c r="A263" t="s">
        <v>72</v>
      </c>
      <c r="B263" t="s">
        <v>6119</v>
      </c>
      <c r="C263" t="s">
        <v>74</v>
      </c>
      <c r="D263" t="s">
        <v>74</v>
      </c>
      <c r="E263" t="s">
        <v>74</v>
      </c>
      <c r="F263" t="s">
        <v>6120</v>
      </c>
      <c r="G263" t="s">
        <v>74</v>
      </c>
      <c r="H263" t="s">
        <v>74</v>
      </c>
      <c r="I263" t="s">
        <v>6121</v>
      </c>
      <c r="J263" t="s">
        <v>6122</v>
      </c>
      <c r="K263" t="s">
        <v>74</v>
      </c>
      <c r="L263" t="s">
        <v>74</v>
      </c>
      <c r="M263" t="s">
        <v>74</v>
      </c>
      <c r="N263" t="s">
        <v>78</v>
      </c>
      <c r="O263" t="s">
        <v>74</v>
      </c>
      <c r="P263" t="s">
        <v>74</v>
      </c>
      <c r="Q263" t="s">
        <v>74</v>
      </c>
      <c r="R263" t="s">
        <v>74</v>
      </c>
      <c r="S263" t="s">
        <v>74</v>
      </c>
      <c r="T263" t="s">
        <v>6123</v>
      </c>
      <c r="U263" t="s">
        <v>6124</v>
      </c>
      <c r="V263" t="s">
        <v>6125</v>
      </c>
      <c r="W263" t="s">
        <v>6126</v>
      </c>
      <c r="X263" t="s">
        <v>6127</v>
      </c>
      <c r="Y263" t="s">
        <v>6128</v>
      </c>
      <c r="Z263" t="s">
        <v>6129</v>
      </c>
      <c r="AA263" t="s">
        <v>74</v>
      </c>
      <c r="AB263" t="s">
        <v>6130</v>
      </c>
      <c r="AC263" t="s">
        <v>74</v>
      </c>
      <c r="AD263" t="s">
        <v>74</v>
      </c>
      <c r="AE263" t="s">
        <v>74</v>
      </c>
      <c r="AF263" t="s">
        <v>74</v>
      </c>
      <c r="AG263">
        <v>52</v>
      </c>
      <c r="AH263">
        <v>23</v>
      </c>
      <c r="AI263">
        <v>23</v>
      </c>
      <c r="AJ263">
        <v>3</v>
      </c>
      <c r="AK263">
        <v>10</v>
      </c>
      <c r="AL263" t="s">
        <v>74</v>
      </c>
      <c r="AM263" t="s">
        <v>74</v>
      </c>
      <c r="AN263" t="s">
        <v>74</v>
      </c>
      <c r="AO263" t="s">
        <v>6131</v>
      </c>
      <c r="AP263" t="s">
        <v>74</v>
      </c>
      <c r="AQ263" t="s">
        <v>74</v>
      </c>
      <c r="AR263" t="s">
        <v>74</v>
      </c>
      <c r="AS263" t="s">
        <v>74</v>
      </c>
      <c r="AT263" t="s">
        <v>171</v>
      </c>
      <c r="AU263">
        <v>2019</v>
      </c>
      <c r="AV263">
        <v>3</v>
      </c>
      <c r="AW263">
        <v>12</v>
      </c>
      <c r="AX263" t="s">
        <v>74</v>
      </c>
      <c r="AY263" t="s">
        <v>74</v>
      </c>
      <c r="AZ263" t="s">
        <v>74</v>
      </c>
      <c r="BA263" t="s">
        <v>74</v>
      </c>
      <c r="BB263" t="s">
        <v>74</v>
      </c>
      <c r="BC263" t="s">
        <v>74</v>
      </c>
      <c r="BD263" t="s">
        <v>6132</v>
      </c>
      <c r="BE263" t="s">
        <v>6133</v>
      </c>
      <c r="BF263" t="str">
        <f>HYPERLINK("http://dx.doi.org/10.1093/cdn/nzz122","http://dx.doi.org/10.1093/cdn/nzz122")</f>
        <v>http://dx.doi.org/10.1093/cdn/nzz122</v>
      </c>
      <c r="BG263" t="s">
        <v>74</v>
      </c>
      <c r="BH263" t="s">
        <v>74</v>
      </c>
      <c r="BI263" t="s">
        <v>74</v>
      </c>
      <c r="BJ263" t="s">
        <v>1714</v>
      </c>
      <c r="BK263" t="s">
        <v>91</v>
      </c>
      <c r="BL263" t="s">
        <v>1714</v>
      </c>
      <c r="BM263" t="s">
        <v>74</v>
      </c>
      <c r="BN263">
        <v>32154493</v>
      </c>
      <c r="BO263" t="s">
        <v>74</v>
      </c>
      <c r="BP263" t="s">
        <v>74</v>
      </c>
      <c r="BQ263" t="s">
        <v>74</v>
      </c>
      <c r="BR263" t="s">
        <v>93</v>
      </c>
      <c r="BS263" t="s">
        <v>6134</v>
      </c>
      <c r="BT263" t="str">
        <f>HYPERLINK("https%3A%2F%2Fwww.webofscience.com%2Fwos%2Fwoscc%2Ffull-record%2FWOS:000504327500002","View Full Record in Web of Science")</f>
        <v>View Full Record in Web of Science</v>
      </c>
    </row>
    <row r="264" spans="1:72" x14ac:dyDescent="0.15">
      <c r="A264" t="s">
        <v>72</v>
      </c>
      <c r="B264" t="s">
        <v>7494</v>
      </c>
      <c r="C264" t="s">
        <v>74</v>
      </c>
      <c r="D264" t="s">
        <v>74</v>
      </c>
      <c r="E264" t="s">
        <v>74</v>
      </c>
      <c r="F264" t="s">
        <v>7495</v>
      </c>
      <c r="G264" t="s">
        <v>74</v>
      </c>
      <c r="H264" t="s">
        <v>74</v>
      </c>
      <c r="I264" t="s">
        <v>7496</v>
      </c>
      <c r="J264" t="s">
        <v>7497</v>
      </c>
      <c r="K264" t="s">
        <v>74</v>
      </c>
      <c r="L264" t="s">
        <v>74</v>
      </c>
      <c r="M264" t="s">
        <v>74</v>
      </c>
      <c r="N264" t="s">
        <v>78</v>
      </c>
      <c r="O264" t="s">
        <v>74</v>
      </c>
      <c r="P264" t="s">
        <v>74</v>
      </c>
      <c r="Q264" t="s">
        <v>74</v>
      </c>
      <c r="R264" t="s">
        <v>74</v>
      </c>
      <c r="S264" t="s">
        <v>74</v>
      </c>
      <c r="T264" t="s">
        <v>7498</v>
      </c>
      <c r="U264" t="s">
        <v>7499</v>
      </c>
      <c r="V264" t="s">
        <v>7500</v>
      </c>
      <c r="W264" t="s">
        <v>7501</v>
      </c>
      <c r="X264" t="s">
        <v>7502</v>
      </c>
      <c r="Y264" t="s">
        <v>7503</v>
      </c>
      <c r="Z264" t="s">
        <v>7293</v>
      </c>
      <c r="AA264" t="s">
        <v>74</v>
      </c>
      <c r="AB264" t="s">
        <v>74</v>
      </c>
      <c r="AC264" t="s">
        <v>74</v>
      </c>
      <c r="AD264" t="s">
        <v>74</v>
      </c>
      <c r="AE264" t="s">
        <v>74</v>
      </c>
      <c r="AF264" t="s">
        <v>74</v>
      </c>
      <c r="AG264">
        <v>90</v>
      </c>
      <c r="AH264">
        <v>23</v>
      </c>
      <c r="AI264">
        <v>24</v>
      </c>
      <c r="AJ264">
        <v>3</v>
      </c>
      <c r="AK264">
        <v>21</v>
      </c>
      <c r="AL264" t="s">
        <v>74</v>
      </c>
      <c r="AM264" t="s">
        <v>74</v>
      </c>
      <c r="AN264" t="s">
        <v>74</v>
      </c>
      <c r="AO264" t="s">
        <v>7504</v>
      </c>
      <c r="AP264" t="s">
        <v>7505</v>
      </c>
      <c r="AQ264" t="s">
        <v>74</v>
      </c>
      <c r="AR264" t="s">
        <v>74</v>
      </c>
      <c r="AS264" t="s">
        <v>74</v>
      </c>
      <c r="AT264" t="s">
        <v>743</v>
      </c>
      <c r="AU264">
        <v>2015</v>
      </c>
      <c r="AV264">
        <v>37</v>
      </c>
      <c r="AW264">
        <v>3</v>
      </c>
      <c r="AX264" t="s">
        <v>74</v>
      </c>
      <c r="AY264" t="s">
        <v>74</v>
      </c>
      <c r="AZ264" t="s">
        <v>74</v>
      </c>
      <c r="BA264" t="s">
        <v>74</v>
      </c>
      <c r="BB264">
        <v>540</v>
      </c>
      <c r="BC264">
        <v>551</v>
      </c>
      <c r="BD264" t="s">
        <v>74</v>
      </c>
      <c r="BE264" t="s">
        <v>7506</v>
      </c>
      <c r="BF264" t="str">
        <f>HYPERLINK("http://dx.doi.org/10.1016/j.clinthera.2015.02.017","http://dx.doi.org/10.1016/j.clinthera.2015.02.017")</f>
        <v>http://dx.doi.org/10.1016/j.clinthera.2015.02.017</v>
      </c>
      <c r="BG264" t="s">
        <v>74</v>
      </c>
      <c r="BH264" t="s">
        <v>74</v>
      </c>
      <c r="BI264" t="s">
        <v>74</v>
      </c>
      <c r="BJ264" t="s">
        <v>1275</v>
      </c>
      <c r="BK264" t="s">
        <v>112</v>
      </c>
      <c r="BL264" t="s">
        <v>1275</v>
      </c>
      <c r="BM264" t="s">
        <v>74</v>
      </c>
      <c r="BN264">
        <v>25795433</v>
      </c>
      <c r="BO264" t="s">
        <v>74</v>
      </c>
      <c r="BP264" t="s">
        <v>74</v>
      </c>
      <c r="BQ264" t="s">
        <v>74</v>
      </c>
      <c r="BR264" t="s">
        <v>93</v>
      </c>
      <c r="BS264" t="s">
        <v>7507</v>
      </c>
      <c r="BT264" t="str">
        <f>HYPERLINK("https%3A%2F%2Fwww.webofscience.com%2Fwos%2Fwoscc%2Ffull-record%2FWOS:000353252300009","View Full Record in Web of Science")</f>
        <v>View Full Record in Web of Science</v>
      </c>
    </row>
    <row r="265" spans="1:72" x14ac:dyDescent="0.15">
      <c r="A265" t="s">
        <v>72</v>
      </c>
      <c r="B265" t="s">
        <v>10121</v>
      </c>
      <c r="C265" t="s">
        <v>74</v>
      </c>
      <c r="D265" t="s">
        <v>74</v>
      </c>
      <c r="E265" t="s">
        <v>74</v>
      </c>
      <c r="F265" t="s">
        <v>10122</v>
      </c>
      <c r="G265" t="s">
        <v>74</v>
      </c>
      <c r="H265" t="s">
        <v>74</v>
      </c>
      <c r="I265" t="s">
        <v>10123</v>
      </c>
      <c r="J265" t="s">
        <v>568</v>
      </c>
      <c r="K265" t="s">
        <v>74</v>
      </c>
      <c r="L265" t="s">
        <v>74</v>
      </c>
      <c r="M265" t="s">
        <v>74</v>
      </c>
      <c r="N265" t="s">
        <v>78</v>
      </c>
      <c r="O265" t="s">
        <v>74</v>
      </c>
      <c r="P265" t="s">
        <v>74</v>
      </c>
      <c r="Q265" t="s">
        <v>74</v>
      </c>
      <c r="R265" t="s">
        <v>74</v>
      </c>
      <c r="S265" t="s">
        <v>74</v>
      </c>
      <c r="T265" t="s">
        <v>74</v>
      </c>
      <c r="U265" t="s">
        <v>10124</v>
      </c>
      <c r="V265" t="s">
        <v>10125</v>
      </c>
      <c r="W265" t="s">
        <v>10126</v>
      </c>
      <c r="X265" t="s">
        <v>10127</v>
      </c>
      <c r="Y265" t="s">
        <v>10128</v>
      </c>
      <c r="Z265" t="s">
        <v>10129</v>
      </c>
      <c r="AA265" t="s">
        <v>10130</v>
      </c>
      <c r="AB265" t="s">
        <v>10131</v>
      </c>
      <c r="AC265" t="s">
        <v>74</v>
      </c>
      <c r="AD265" t="s">
        <v>74</v>
      </c>
      <c r="AE265" t="s">
        <v>74</v>
      </c>
      <c r="AF265" t="s">
        <v>74</v>
      </c>
      <c r="AG265">
        <v>27</v>
      </c>
      <c r="AH265">
        <v>23</v>
      </c>
      <c r="AI265">
        <v>24</v>
      </c>
      <c r="AJ265">
        <v>0</v>
      </c>
      <c r="AK265">
        <v>8</v>
      </c>
      <c r="AL265" t="s">
        <v>74</v>
      </c>
      <c r="AM265" t="s">
        <v>74</v>
      </c>
      <c r="AN265" t="s">
        <v>74</v>
      </c>
      <c r="AO265" t="s">
        <v>577</v>
      </c>
      <c r="AP265" t="s">
        <v>74</v>
      </c>
      <c r="AQ265" t="s">
        <v>74</v>
      </c>
      <c r="AR265" t="s">
        <v>74</v>
      </c>
      <c r="AS265" t="s">
        <v>74</v>
      </c>
      <c r="AT265" t="s">
        <v>10132</v>
      </c>
      <c r="AU265">
        <v>2015</v>
      </c>
      <c r="AV265">
        <v>10</v>
      </c>
      <c r="AW265">
        <v>3</v>
      </c>
      <c r="AX265" t="s">
        <v>74</v>
      </c>
      <c r="AY265" t="s">
        <v>74</v>
      </c>
      <c r="AZ265" t="s">
        <v>74</v>
      </c>
      <c r="BA265" t="s">
        <v>74</v>
      </c>
      <c r="BB265" t="s">
        <v>74</v>
      </c>
      <c r="BC265" t="s">
        <v>74</v>
      </c>
      <c r="BD265" t="s">
        <v>10133</v>
      </c>
      <c r="BE265" t="s">
        <v>10134</v>
      </c>
      <c r="BF265" t="str">
        <f>HYPERLINK("http://dx.doi.org/10.1371/journal.pone.0122766","http://dx.doi.org/10.1371/journal.pone.0122766")</f>
        <v>http://dx.doi.org/10.1371/journal.pone.0122766</v>
      </c>
      <c r="BG265" t="s">
        <v>74</v>
      </c>
      <c r="BH265" t="s">
        <v>74</v>
      </c>
      <c r="BI265" t="s">
        <v>74</v>
      </c>
      <c r="BJ265" t="s">
        <v>545</v>
      </c>
      <c r="BK265" t="s">
        <v>112</v>
      </c>
      <c r="BL265" t="s">
        <v>546</v>
      </c>
      <c r="BM265" t="s">
        <v>74</v>
      </c>
      <c r="BN265">
        <v>25811468</v>
      </c>
      <c r="BO265" t="s">
        <v>74</v>
      </c>
      <c r="BP265" t="s">
        <v>74</v>
      </c>
      <c r="BQ265" t="s">
        <v>74</v>
      </c>
      <c r="BR265" t="s">
        <v>93</v>
      </c>
      <c r="BS265" t="s">
        <v>10135</v>
      </c>
      <c r="BT265" t="str">
        <f>HYPERLINK("https%3A%2F%2Fwww.webofscience.com%2Fwos%2Fwoscc%2Ffull-record%2FWOS:000356353700200","View Full Record in Web of Science")</f>
        <v>View Full Record in Web of Science</v>
      </c>
    </row>
    <row r="266" spans="1:72" x14ac:dyDescent="0.15">
      <c r="A266" t="s">
        <v>72</v>
      </c>
      <c r="B266" t="s">
        <v>10463</v>
      </c>
      <c r="C266" t="s">
        <v>74</v>
      </c>
      <c r="D266" t="s">
        <v>74</v>
      </c>
      <c r="E266" t="s">
        <v>74</v>
      </c>
      <c r="F266" t="s">
        <v>10464</v>
      </c>
      <c r="G266" t="s">
        <v>74</v>
      </c>
      <c r="H266" t="s">
        <v>74</v>
      </c>
      <c r="I266" t="s">
        <v>10465</v>
      </c>
      <c r="J266" t="s">
        <v>568</v>
      </c>
      <c r="K266" t="s">
        <v>74</v>
      </c>
      <c r="L266" t="s">
        <v>74</v>
      </c>
      <c r="M266" t="s">
        <v>74</v>
      </c>
      <c r="N266" t="s">
        <v>78</v>
      </c>
      <c r="O266" t="s">
        <v>74</v>
      </c>
      <c r="P266" t="s">
        <v>74</v>
      </c>
      <c r="Q266" t="s">
        <v>74</v>
      </c>
      <c r="R266" t="s">
        <v>74</v>
      </c>
      <c r="S266" t="s">
        <v>74</v>
      </c>
      <c r="T266" t="s">
        <v>74</v>
      </c>
      <c r="U266" t="s">
        <v>10466</v>
      </c>
      <c r="V266" t="s">
        <v>10467</v>
      </c>
      <c r="W266" t="s">
        <v>10468</v>
      </c>
      <c r="X266" t="s">
        <v>10469</v>
      </c>
      <c r="Y266" t="s">
        <v>10470</v>
      </c>
      <c r="Z266" t="s">
        <v>10471</v>
      </c>
      <c r="AA266" t="s">
        <v>10472</v>
      </c>
      <c r="AB266" t="s">
        <v>10473</v>
      </c>
      <c r="AC266" t="s">
        <v>74</v>
      </c>
      <c r="AD266" t="s">
        <v>74</v>
      </c>
      <c r="AE266" t="s">
        <v>74</v>
      </c>
      <c r="AF266" t="s">
        <v>74</v>
      </c>
      <c r="AG266">
        <v>49</v>
      </c>
      <c r="AH266">
        <v>23</v>
      </c>
      <c r="AI266">
        <v>24</v>
      </c>
      <c r="AJ266">
        <v>0</v>
      </c>
      <c r="AK266">
        <v>25</v>
      </c>
      <c r="AL266" t="s">
        <v>74</v>
      </c>
      <c r="AM266" t="s">
        <v>74</v>
      </c>
      <c r="AN266" t="s">
        <v>74</v>
      </c>
      <c r="AO266" t="s">
        <v>577</v>
      </c>
      <c r="AP266" t="s">
        <v>74</v>
      </c>
      <c r="AQ266" t="s">
        <v>74</v>
      </c>
      <c r="AR266" t="s">
        <v>74</v>
      </c>
      <c r="AS266" t="s">
        <v>74</v>
      </c>
      <c r="AT266" t="s">
        <v>10474</v>
      </c>
      <c r="AU266">
        <v>2012</v>
      </c>
      <c r="AV266">
        <v>7</v>
      </c>
      <c r="AW266">
        <v>6</v>
      </c>
      <c r="AX266" t="s">
        <v>74</v>
      </c>
      <c r="AY266" t="s">
        <v>74</v>
      </c>
      <c r="AZ266" t="s">
        <v>74</v>
      </c>
      <c r="BA266" t="s">
        <v>74</v>
      </c>
      <c r="BB266" t="s">
        <v>74</v>
      </c>
      <c r="BC266" t="s">
        <v>74</v>
      </c>
      <c r="BD266" t="s">
        <v>10475</v>
      </c>
      <c r="BE266" t="s">
        <v>10476</v>
      </c>
      <c r="BF266" t="str">
        <f>HYPERLINK("http://dx.doi.org/10.1371/journal.pone.0038746","http://dx.doi.org/10.1371/journal.pone.0038746")</f>
        <v>http://dx.doi.org/10.1371/journal.pone.0038746</v>
      </c>
      <c r="BG266" t="s">
        <v>74</v>
      </c>
      <c r="BH266" t="s">
        <v>74</v>
      </c>
      <c r="BI266" t="s">
        <v>74</v>
      </c>
      <c r="BJ266" t="s">
        <v>545</v>
      </c>
      <c r="BK266" t="s">
        <v>112</v>
      </c>
      <c r="BL266" t="s">
        <v>546</v>
      </c>
      <c r="BM266" t="s">
        <v>74</v>
      </c>
      <c r="BN266" t="s">
        <v>74</v>
      </c>
      <c r="BO266" t="s">
        <v>74</v>
      </c>
      <c r="BP266" t="s">
        <v>74</v>
      </c>
      <c r="BQ266" t="s">
        <v>74</v>
      </c>
      <c r="BR266" t="s">
        <v>93</v>
      </c>
      <c r="BS266" t="s">
        <v>10477</v>
      </c>
      <c r="BT266" t="str">
        <f>HYPERLINK("https%3A%2F%2Fwww.webofscience.com%2Fwos%2Fwoscc%2Ffull-record%2FWOS:000305652700025","View Full Record in Web of Science")</f>
        <v>View Full Record in Web of Science</v>
      </c>
    </row>
    <row r="267" spans="1:72" x14ac:dyDescent="0.15">
      <c r="A267" t="s">
        <v>72</v>
      </c>
      <c r="B267" t="s">
        <v>10979</v>
      </c>
      <c r="C267" t="s">
        <v>74</v>
      </c>
      <c r="D267" t="s">
        <v>74</v>
      </c>
      <c r="E267" t="s">
        <v>74</v>
      </c>
      <c r="F267" t="s">
        <v>10979</v>
      </c>
      <c r="G267" t="s">
        <v>74</v>
      </c>
      <c r="H267" t="s">
        <v>74</v>
      </c>
      <c r="I267" t="s">
        <v>10980</v>
      </c>
      <c r="J267" t="s">
        <v>10981</v>
      </c>
      <c r="K267" t="s">
        <v>74</v>
      </c>
      <c r="L267" t="s">
        <v>74</v>
      </c>
      <c r="M267" t="s">
        <v>74</v>
      </c>
      <c r="N267" t="s">
        <v>752</v>
      </c>
      <c r="O267" t="s">
        <v>10982</v>
      </c>
      <c r="P267" t="s">
        <v>10983</v>
      </c>
      <c r="Q267" t="s">
        <v>10984</v>
      </c>
      <c r="R267" t="s">
        <v>74</v>
      </c>
      <c r="S267" t="s">
        <v>74</v>
      </c>
      <c r="T267" t="s">
        <v>74</v>
      </c>
      <c r="U267" t="s">
        <v>10985</v>
      </c>
      <c r="V267" t="s">
        <v>10986</v>
      </c>
      <c r="W267" t="s">
        <v>10987</v>
      </c>
      <c r="X267" t="s">
        <v>10988</v>
      </c>
      <c r="Y267" t="s">
        <v>74</v>
      </c>
      <c r="Z267" t="s">
        <v>74</v>
      </c>
      <c r="AA267" t="s">
        <v>74</v>
      </c>
      <c r="AB267" t="s">
        <v>74</v>
      </c>
      <c r="AC267" t="s">
        <v>74</v>
      </c>
      <c r="AD267" t="s">
        <v>74</v>
      </c>
      <c r="AE267" t="s">
        <v>74</v>
      </c>
      <c r="AF267" t="s">
        <v>74</v>
      </c>
      <c r="AG267">
        <v>50</v>
      </c>
      <c r="AH267">
        <v>23</v>
      </c>
      <c r="AI267">
        <v>26</v>
      </c>
      <c r="AJ267">
        <v>0</v>
      </c>
      <c r="AK267">
        <v>0</v>
      </c>
      <c r="AL267" t="s">
        <v>74</v>
      </c>
      <c r="AM267" t="s">
        <v>74</v>
      </c>
      <c r="AN267" t="s">
        <v>74</v>
      </c>
      <c r="AO267" t="s">
        <v>10989</v>
      </c>
      <c r="AP267" t="s">
        <v>74</v>
      </c>
      <c r="AQ267" t="s">
        <v>74</v>
      </c>
      <c r="AR267" t="s">
        <v>74</v>
      </c>
      <c r="AS267" t="s">
        <v>74</v>
      </c>
      <c r="AT267" t="s">
        <v>743</v>
      </c>
      <c r="AU267">
        <v>1997</v>
      </c>
      <c r="AV267">
        <v>12</v>
      </c>
      <c r="AW267">
        <v>3</v>
      </c>
      <c r="AX267" t="s">
        <v>74</v>
      </c>
      <c r="AY267" t="s">
        <v>74</v>
      </c>
      <c r="AZ267" t="s">
        <v>74</v>
      </c>
      <c r="BA267" t="s">
        <v>74</v>
      </c>
      <c r="BB267">
        <v>356</v>
      </c>
      <c r="BC267">
        <v>366</v>
      </c>
      <c r="BD267" t="s">
        <v>74</v>
      </c>
      <c r="BE267" t="s">
        <v>10990</v>
      </c>
      <c r="BF267" t="str">
        <f>HYPERLINK("http://dx.doi.org/10.1359/jbmr.1997.12.3.356","http://dx.doi.org/10.1359/jbmr.1997.12.3.356")</f>
        <v>http://dx.doi.org/10.1359/jbmr.1997.12.3.356</v>
      </c>
      <c r="BG267" t="s">
        <v>74</v>
      </c>
      <c r="BH267" t="s">
        <v>74</v>
      </c>
      <c r="BI267" t="s">
        <v>74</v>
      </c>
      <c r="BJ267" t="s">
        <v>1810</v>
      </c>
      <c r="BK267" t="s">
        <v>5682</v>
      </c>
      <c r="BL267" t="s">
        <v>1810</v>
      </c>
      <c r="BM267" t="s">
        <v>74</v>
      </c>
      <c r="BN267">
        <v>9076578</v>
      </c>
      <c r="BO267" t="s">
        <v>74</v>
      </c>
      <c r="BP267" t="s">
        <v>74</v>
      </c>
      <c r="BQ267" t="s">
        <v>74</v>
      </c>
      <c r="BR267" t="s">
        <v>93</v>
      </c>
      <c r="BS267" t="s">
        <v>10991</v>
      </c>
      <c r="BT267" t="str">
        <f>HYPERLINK("https%3A%2F%2Fwww.webofscience.com%2Fwos%2Fwoscc%2Ffull-record%2FWOS:A1997WN14800007","View Full Record in Web of Science")</f>
        <v>View Full Record in Web of Science</v>
      </c>
    </row>
    <row r="268" spans="1:72" x14ac:dyDescent="0.15">
      <c r="A268" t="s">
        <v>72</v>
      </c>
      <c r="B268" t="s">
        <v>114</v>
      </c>
      <c r="C268" t="s">
        <v>74</v>
      </c>
      <c r="D268" t="s">
        <v>74</v>
      </c>
      <c r="E268" t="s">
        <v>74</v>
      </c>
      <c r="F268" t="s">
        <v>115</v>
      </c>
      <c r="G268" t="s">
        <v>74</v>
      </c>
      <c r="H268" t="s">
        <v>74</v>
      </c>
      <c r="I268" t="s">
        <v>116</v>
      </c>
      <c r="J268" t="s">
        <v>117</v>
      </c>
      <c r="K268" t="s">
        <v>74</v>
      </c>
      <c r="L268" t="s">
        <v>74</v>
      </c>
      <c r="M268" t="s">
        <v>74</v>
      </c>
      <c r="N268" t="s">
        <v>78</v>
      </c>
      <c r="O268" t="s">
        <v>74</v>
      </c>
      <c r="P268" t="s">
        <v>74</v>
      </c>
      <c r="Q268" t="s">
        <v>74</v>
      </c>
      <c r="R268" t="s">
        <v>74</v>
      </c>
      <c r="S268" t="s">
        <v>74</v>
      </c>
      <c r="T268" t="s">
        <v>118</v>
      </c>
      <c r="U268" t="s">
        <v>119</v>
      </c>
      <c r="V268" t="s">
        <v>120</v>
      </c>
      <c r="W268" t="s">
        <v>121</v>
      </c>
      <c r="X268" t="s">
        <v>122</v>
      </c>
      <c r="Y268" t="s">
        <v>123</v>
      </c>
      <c r="Z268" t="s">
        <v>124</v>
      </c>
      <c r="AA268" t="s">
        <v>125</v>
      </c>
      <c r="AB268" t="s">
        <v>126</v>
      </c>
      <c r="AC268" t="s">
        <v>74</v>
      </c>
      <c r="AD268" t="s">
        <v>74</v>
      </c>
      <c r="AE268" t="s">
        <v>74</v>
      </c>
      <c r="AF268" t="s">
        <v>74</v>
      </c>
      <c r="AG268">
        <v>27</v>
      </c>
      <c r="AH268">
        <v>22</v>
      </c>
      <c r="AI268">
        <v>22</v>
      </c>
      <c r="AJ268">
        <v>0</v>
      </c>
      <c r="AK268">
        <v>19</v>
      </c>
      <c r="AL268" t="s">
        <v>74</v>
      </c>
      <c r="AM268" t="s">
        <v>74</v>
      </c>
      <c r="AN268" t="s">
        <v>74</v>
      </c>
      <c r="AO268" t="s">
        <v>127</v>
      </c>
      <c r="AP268" t="s">
        <v>128</v>
      </c>
      <c r="AQ268" t="s">
        <v>74</v>
      </c>
      <c r="AR268" t="s">
        <v>74</v>
      </c>
      <c r="AS268" t="s">
        <v>74</v>
      </c>
      <c r="AT268" t="s">
        <v>129</v>
      </c>
      <c r="AU268">
        <v>2016</v>
      </c>
      <c r="AV268">
        <v>10</v>
      </c>
      <c r="AW268">
        <v>2</v>
      </c>
      <c r="AX268" t="s">
        <v>74</v>
      </c>
      <c r="AY268" t="s">
        <v>74</v>
      </c>
      <c r="AZ268" t="s">
        <v>74</v>
      </c>
      <c r="BA268" t="s">
        <v>74</v>
      </c>
      <c r="BB268">
        <v>165</v>
      </c>
      <c r="BC268">
        <v>172</v>
      </c>
      <c r="BD268" t="s">
        <v>74</v>
      </c>
      <c r="BE268" t="s">
        <v>130</v>
      </c>
      <c r="BF268" t="str">
        <f>HYPERLINK("http://dx.doi.org/10.1134/S1990750816020049","http://dx.doi.org/10.1134/S1990750816020049")</f>
        <v>http://dx.doi.org/10.1134/S1990750816020049</v>
      </c>
      <c r="BG268" t="s">
        <v>74</v>
      </c>
      <c r="BH268" t="s">
        <v>74</v>
      </c>
      <c r="BI268" t="s">
        <v>74</v>
      </c>
      <c r="BJ268" t="s">
        <v>92</v>
      </c>
      <c r="BK268" t="s">
        <v>91</v>
      </c>
      <c r="BL268" t="s">
        <v>92</v>
      </c>
      <c r="BM268" t="s">
        <v>74</v>
      </c>
      <c r="BN268" t="s">
        <v>74</v>
      </c>
      <c r="BO268" t="s">
        <v>74</v>
      </c>
      <c r="BP268" t="s">
        <v>74</v>
      </c>
      <c r="BQ268" t="s">
        <v>74</v>
      </c>
      <c r="BR268" t="s">
        <v>93</v>
      </c>
      <c r="BS268" t="s">
        <v>131</v>
      </c>
      <c r="BT268" t="str">
        <f>HYPERLINK("https%3A%2F%2Fwww.webofscience.com%2Fwos%2Fwoscc%2Ffull-record%2FWOS:000383051100008","View Full Record in Web of Science")</f>
        <v>View Full Record in Web of Science</v>
      </c>
    </row>
    <row r="269" spans="1:72" x14ac:dyDescent="0.15">
      <c r="A269" t="s">
        <v>72</v>
      </c>
      <c r="B269" t="s">
        <v>163</v>
      </c>
      <c r="C269" t="s">
        <v>74</v>
      </c>
      <c r="D269" t="s">
        <v>74</v>
      </c>
      <c r="E269" t="s">
        <v>74</v>
      </c>
      <c r="F269" t="s">
        <v>164</v>
      </c>
      <c r="G269" t="s">
        <v>74</v>
      </c>
      <c r="H269" t="s">
        <v>74</v>
      </c>
      <c r="I269" t="s">
        <v>165</v>
      </c>
      <c r="J269" t="s">
        <v>98</v>
      </c>
      <c r="K269" t="s">
        <v>74</v>
      </c>
      <c r="L269" t="s">
        <v>74</v>
      </c>
      <c r="M269" t="s">
        <v>74</v>
      </c>
      <c r="N269" t="s">
        <v>78</v>
      </c>
      <c r="O269" t="s">
        <v>74</v>
      </c>
      <c r="P269" t="s">
        <v>74</v>
      </c>
      <c r="Q269" t="s">
        <v>74</v>
      </c>
      <c r="R269" t="s">
        <v>74</v>
      </c>
      <c r="S269" t="s">
        <v>74</v>
      </c>
      <c r="T269" t="s">
        <v>166</v>
      </c>
      <c r="U269" t="s">
        <v>167</v>
      </c>
      <c r="V269" t="s">
        <v>168</v>
      </c>
      <c r="W269" t="s">
        <v>169</v>
      </c>
      <c r="X269" t="s">
        <v>156</v>
      </c>
      <c r="Y269" t="s">
        <v>170</v>
      </c>
      <c r="Z269" t="s">
        <v>105</v>
      </c>
      <c r="AA269" t="s">
        <v>74</v>
      </c>
      <c r="AB269" t="s">
        <v>74</v>
      </c>
      <c r="AC269" t="s">
        <v>74</v>
      </c>
      <c r="AD269" t="s">
        <v>74</v>
      </c>
      <c r="AE269" t="s">
        <v>74</v>
      </c>
      <c r="AF269" t="s">
        <v>74</v>
      </c>
      <c r="AG269">
        <v>29</v>
      </c>
      <c r="AH269">
        <v>22</v>
      </c>
      <c r="AI269">
        <v>23</v>
      </c>
      <c r="AJ269">
        <v>0</v>
      </c>
      <c r="AK269">
        <v>1</v>
      </c>
      <c r="AL269" t="s">
        <v>74</v>
      </c>
      <c r="AM269" t="s">
        <v>74</v>
      </c>
      <c r="AN269" t="s">
        <v>74</v>
      </c>
      <c r="AO269" t="s">
        <v>106</v>
      </c>
      <c r="AP269" t="s">
        <v>107</v>
      </c>
      <c r="AQ269" t="s">
        <v>74</v>
      </c>
      <c r="AR269" t="s">
        <v>74</v>
      </c>
      <c r="AS269" t="s">
        <v>74</v>
      </c>
      <c r="AT269" t="s">
        <v>171</v>
      </c>
      <c r="AU269">
        <v>2019</v>
      </c>
      <c r="AV269">
        <v>8</v>
      </c>
      <c r="AW269">
        <v>6</v>
      </c>
      <c r="AX269" t="s">
        <v>74</v>
      </c>
      <c r="AY269" t="s">
        <v>74</v>
      </c>
      <c r="AZ269" t="s">
        <v>74</v>
      </c>
      <c r="BA269" t="s">
        <v>74</v>
      </c>
      <c r="BB269">
        <v>1051</v>
      </c>
      <c r="BC269" t="s">
        <v>109</v>
      </c>
      <c r="BD269" t="s">
        <v>74</v>
      </c>
      <c r="BE269" t="s">
        <v>172</v>
      </c>
      <c r="BF269" t="str">
        <f>HYPERLINK("http://dx.doi.org/10.21037/tlcr.2019.12.16","http://dx.doi.org/10.21037/tlcr.2019.12.16")</f>
        <v>http://dx.doi.org/10.21037/tlcr.2019.12.16</v>
      </c>
      <c r="BG269" t="s">
        <v>74</v>
      </c>
      <c r="BH269" t="s">
        <v>74</v>
      </c>
      <c r="BI269" t="s">
        <v>74</v>
      </c>
      <c r="BJ269" t="s">
        <v>111</v>
      </c>
      <c r="BK269" t="s">
        <v>112</v>
      </c>
      <c r="BL269" t="s">
        <v>111</v>
      </c>
      <c r="BM269" t="s">
        <v>74</v>
      </c>
      <c r="BN269">
        <v>32010582</v>
      </c>
      <c r="BO269" t="s">
        <v>74</v>
      </c>
      <c r="BP269" t="s">
        <v>74</v>
      </c>
      <c r="BQ269" t="s">
        <v>74</v>
      </c>
      <c r="BR269" t="s">
        <v>93</v>
      </c>
      <c r="BS269" t="s">
        <v>173</v>
      </c>
      <c r="BT269" t="str">
        <f>HYPERLINK("https%3A%2F%2Fwww.webofscience.com%2Fwos%2Fwoscc%2Ffull-record%2FWOS:000505217600030","View Full Record in Web of Science")</f>
        <v>View Full Record in Web of Science</v>
      </c>
    </row>
    <row r="270" spans="1:72" x14ac:dyDescent="0.15">
      <c r="A270" t="s">
        <v>72</v>
      </c>
      <c r="B270" t="s">
        <v>1825</v>
      </c>
      <c r="C270" t="s">
        <v>74</v>
      </c>
      <c r="D270" t="s">
        <v>74</v>
      </c>
      <c r="E270" t="s">
        <v>74</v>
      </c>
      <c r="F270" t="s">
        <v>1826</v>
      </c>
      <c r="G270" t="s">
        <v>74</v>
      </c>
      <c r="H270" t="s">
        <v>74</v>
      </c>
      <c r="I270" t="s">
        <v>1827</v>
      </c>
      <c r="J270" t="s">
        <v>1828</v>
      </c>
      <c r="K270" t="s">
        <v>74</v>
      </c>
      <c r="L270" t="s">
        <v>74</v>
      </c>
      <c r="M270" t="s">
        <v>74</v>
      </c>
      <c r="N270" t="s">
        <v>78</v>
      </c>
      <c r="O270" t="s">
        <v>74</v>
      </c>
      <c r="P270" t="s">
        <v>74</v>
      </c>
      <c r="Q270" t="s">
        <v>74</v>
      </c>
      <c r="R270" t="s">
        <v>74</v>
      </c>
      <c r="S270" t="s">
        <v>74</v>
      </c>
      <c r="T270" t="s">
        <v>74</v>
      </c>
      <c r="U270" t="s">
        <v>1829</v>
      </c>
      <c r="V270" t="s">
        <v>1830</v>
      </c>
      <c r="W270" t="s">
        <v>1831</v>
      </c>
      <c r="X270" t="s">
        <v>1832</v>
      </c>
      <c r="Y270" t="s">
        <v>1833</v>
      </c>
      <c r="Z270" t="s">
        <v>1834</v>
      </c>
      <c r="AA270" t="s">
        <v>1835</v>
      </c>
      <c r="AB270" t="s">
        <v>1836</v>
      </c>
      <c r="AC270" t="s">
        <v>74</v>
      </c>
      <c r="AD270" t="s">
        <v>74</v>
      </c>
      <c r="AE270" t="s">
        <v>74</v>
      </c>
      <c r="AF270" t="s">
        <v>74</v>
      </c>
      <c r="AG270">
        <v>50</v>
      </c>
      <c r="AH270">
        <v>22</v>
      </c>
      <c r="AI270">
        <v>22</v>
      </c>
      <c r="AJ270">
        <v>0</v>
      </c>
      <c r="AK270">
        <v>2</v>
      </c>
      <c r="AL270" t="s">
        <v>74</v>
      </c>
      <c r="AM270" t="s">
        <v>74</v>
      </c>
      <c r="AN270" t="s">
        <v>74</v>
      </c>
      <c r="AO270" t="s">
        <v>1837</v>
      </c>
      <c r="AP270" t="s">
        <v>74</v>
      </c>
      <c r="AQ270" t="s">
        <v>74</v>
      </c>
      <c r="AR270" t="s">
        <v>74</v>
      </c>
      <c r="AS270" t="s">
        <v>74</v>
      </c>
      <c r="AT270" t="s">
        <v>271</v>
      </c>
      <c r="AU270">
        <v>2020</v>
      </c>
      <c r="AV270">
        <v>10</v>
      </c>
      <c r="AW270">
        <v>1</v>
      </c>
      <c r="AX270" t="s">
        <v>74</v>
      </c>
      <c r="AY270" t="s">
        <v>74</v>
      </c>
      <c r="AZ270" t="s">
        <v>74</v>
      </c>
      <c r="BA270" t="s">
        <v>74</v>
      </c>
      <c r="BB270" t="s">
        <v>74</v>
      </c>
      <c r="BC270" t="s">
        <v>74</v>
      </c>
      <c r="BD270">
        <v>15745</v>
      </c>
      <c r="BE270" t="s">
        <v>1838</v>
      </c>
      <c r="BF270" t="str">
        <f>HYPERLINK("http://dx.doi.org/10.1038/s41598-020-72834-6","http://dx.doi.org/10.1038/s41598-020-72834-6")</f>
        <v>http://dx.doi.org/10.1038/s41598-020-72834-6</v>
      </c>
      <c r="BG270" t="s">
        <v>74</v>
      </c>
      <c r="BH270" t="s">
        <v>74</v>
      </c>
      <c r="BI270" t="s">
        <v>74</v>
      </c>
      <c r="BJ270" t="s">
        <v>545</v>
      </c>
      <c r="BK270" t="s">
        <v>112</v>
      </c>
      <c r="BL270" t="s">
        <v>546</v>
      </c>
      <c r="BM270" t="s">
        <v>74</v>
      </c>
      <c r="BN270">
        <v>32978468</v>
      </c>
      <c r="BO270" t="s">
        <v>74</v>
      </c>
      <c r="BP270" t="s">
        <v>74</v>
      </c>
      <c r="BQ270" t="s">
        <v>74</v>
      </c>
      <c r="BR270" t="s">
        <v>93</v>
      </c>
      <c r="BS270" t="s">
        <v>1839</v>
      </c>
      <c r="BT270" t="str">
        <f>HYPERLINK("https%3A%2F%2Fwww.webofscience.com%2Fwos%2Fwoscc%2Ffull-record%2FWOS:000577248100020","View Full Record in Web of Science")</f>
        <v>View Full Record in Web of Science</v>
      </c>
    </row>
    <row r="271" spans="1:72" x14ac:dyDescent="0.15">
      <c r="A271" t="s">
        <v>72</v>
      </c>
      <c r="B271" t="s">
        <v>2232</v>
      </c>
      <c r="C271" t="s">
        <v>74</v>
      </c>
      <c r="D271" t="s">
        <v>74</v>
      </c>
      <c r="E271" t="s">
        <v>74</v>
      </c>
      <c r="F271" t="s">
        <v>2233</v>
      </c>
      <c r="G271" t="s">
        <v>74</v>
      </c>
      <c r="H271" t="s">
        <v>74</v>
      </c>
      <c r="I271" t="s">
        <v>2234</v>
      </c>
      <c r="J271" t="s">
        <v>1950</v>
      </c>
      <c r="K271" t="s">
        <v>74</v>
      </c>
      <c r="L271" t="s">
        <v>74</v>
      </c>
      <c r="M271" t="s">
        <v>74</v>
      </c>
      <c r="N271" t="s">
        <v>78</v>
      </c>
      <c r="O271" t="s">
        <v>74</v>
      </c>
      <c r="P271" t="s">
        <v>74</v>
      </c>
      <c r="Q271" t="s">
        <v>74</v>
      </c>
      <c r="R271" t="s">
        <v>74</v>
      </c>
      <c r="S271" t="s">
        <v>74</v>
      </c>
      <c r="T271" t="s">
        <v>2235</v>
      </c>
      <c r="U271" t="s">
        <v>2236</v>
      </c>
      <c r="V271" t="s">
        <v>2237</v>
      </c>
      <c r="W271" t="s">
        <v>2238</v>
      </c>
      <c r="X271" t="s">
        <v>2239</v>
      </c>
      <c r="Y271" t="s">
        <v>2240</v>
      </c>
      <c r="Z271" t="s">
        <v>1957</v>
      </c>
      <c r="AA271" t="s">
        <v>2241</v>
      </c>
      <c r="AB271" t="s">
        <v>2242</v>
      </c>
      <c r="AC271" t="s">
        <v>74</v>
      </c>
      <c r="AD271" t="s">
        <v>74</v>
      </c>
      <c r="AE271" t="s">
        <v>74</v>
      </c>
      <c r="AF271" t="s">
        <v>74</v>
      </c>
      <c r="AG271">
        <v>51</v>
      </c>
      <c r="AH271">
        <v>22</v>
      </c>
      <c r="AI271">
        <v>22</v>
      </c>
      <c r="AJ271">
        <v>2</v>
      </c>
      <c r="AK271">
        <v>12</v>
      </c>
      <c r="AL271" t="s">
        <v>74</v>
      </c>
      <c r="AM271" t="s">
        <v>74</v>
      </c>
      <c r="AN271" t="s">
        <v>74</v>
      </c>
      <c r="AO271" t="s">
        <v>74</v>
      </c>
      <c r="AP271" t="s">
        <v>1960</v>
      </c>
      <c r="AQ271" t="s">
        <v>74</v>
      </c>
      <c r="AR271" t="s">
        <v>74</v>
      </c>
      <c r="AS271" t="s">
        <v>74</v>
      </c>
      <c r="AT271" t="s">
        <v>2243</v>
      </c>
      <c r="AU271">
        <v>2019</v>
      </c>
      <c r="AV271">
        <v>38</v>
      </c>
      <c r="AW271" t="s">
        <v>74</v>
      </c>
      <c r="AX271" t="s">
        <v>74</v>
      </c>
      <c r="AY271" t="s">
        <v>74</v>
      </c>
      <c r="AZ271" t="s">
        <v>74</v>
      </c>
      <c r="BA271" t="s">
        <v>74</v>
      </c>
      <c r="BB271" t="s">
        <v>74</v>
      </c>
      <c r="BC271" t="s">
        <v>74</v>
      </c>
      <c r="BD271">
        <v>257</v>
      </c>
      <c r="BE271" t="s">
        <v>2244</v>
      </c>
      <c r="BF271" t="str">
        <f>HYPERLINK("http://dx.doi.org/10.1186/s13046-019-1248-2","http://dx.doi.org/10.1186/s13046-019-1248-2")</f>
        <v>http://dx.doi.org/10.1186/s13046-019-1248-2</v>
      </c>
      <c r="BG271" t="s">
        <v>74</v>
      </c>
      <c r="BH271" t="s">
        <v>74</v>
      </c>
      <c r="BI271" t="s">
        <v>74</v>
      </c>
      <c r="BJ271" t="s">
        <v>146</v>
      </c>
      <c r="BK271" t="s">
        <v>112</v>
      </c>
      <c r="BL271" t="s">
        <v>146</v>
      </c>
      <c r="BM271" t="s">
        <v>74</v>
      </c>
      <c r="BN271">
        <v>31200749</v>
      </c>
      <c r="BO271" t="s">
        <v>74</v>
      </c>
      <c r="BP271" t="s">
        <v>74</v>
      </c>
      <c r="BQ271" t="s">
        <v>74</v>
      </c>
      <c r="BR271" t="s">
        <v>93</v>
      </c>
      <c r="BS271" t="s">
        <v>2245</v>
      </c>
      <c r="BT271" t="str">
        <f>HYPERLINK("https%3A%2F%2Fwww.webofscience.com%2Fwos%2Fwoscc%2Ffull-record%2FWOS:000471625700001","View Full Record in Web of Science")</f>
        <v>View Full Record in Web of Science</v>
      </c>
    </row>
    <row r="272" spans="1:72" x14ac:dyDescent="0.15">
      <c r="A272" t="s">
        <v>72</v>
      </c>
      <c r="B272" t="s">
        <v>3019</v>
      </c>
      <c r="C272" t="s">
        <v>74</v>
      </c>
      <c r="D272" t="s">
        <v>74</v>
      </c>
      <c r="E272" t="s">
        <v>74</v>
      </c>
      <c r="F272" t="s">
        <v>3020</v>
      </c>
      <c r="G272" t="s">
        <v>74</v>
      </c>
      <c r="H272" t="s">
        <v>74</v>
      </c>
      <c r="I272" t="s">
        <v>3021</v>
      </c>
      <c r="J272" t="s">
        <v>1184</v>
      </c>
      <c r="K272" t="s">
        <v>74</v>
      </c>
      <c r="L272" t="s">
        <v>74</v>
      </c>
      <c r="M272" t="s">
        <v>74</v>
      </c>
      <c r="N272" t="s">
        <v>78</v>
      </c>
      <c r="O272" t="s">
        <v>74</v>
      </c>
      <c r="P272" t="s">
        <v>74</v>
      </c>
      <c r="Q272" t="s">
        <v>74</v>
      </c>
      <c r="R272" t="s">
        <v>74</v>
      </c>
      <c r="S272" t="s">
        <v>74</v>
      </c>
      <c r="T272" t="s">
        <v>3022</v>
      </c>
      <c r="U272" t="s">
        <v>3023</v>
      </c>
      <c r="V272" t="s">
        <v>3024</v>
      </c>
      <c r="W272" t="s">
        <v>3025</v>
      </c>
      <c r="X272" t="s">
        <v>3026</v>
      </c>
      <c r="Y272" t="s">
        <v>3027</v>
      </c>
      <c r="Z272" t="s">
        <v>3028</v>
      </c>
      <c r="AA272" t="s">
        <v>74</v>
      </c>
      <c r="AB272" t="s">
        <v>74</v>
      </c>
      <c r="AC272" t="s">
        <v>74</v>
      </c>
      <c r="AD272" t="s">
        <v>74</v>
      </c>
      <c r="AE272" t="s">
        <v>74</v>
      </c>
      <c r="AF272" t="s">
        <v>74</v>
      </c>
      <c r="AG272">
        <v>50</v>
      </c>
      <c r="AH272">
        <v>22</v>
      </c>
      <c r="AI272">
        <v>21</v>
      </c>
      <c r="AJ272">
        <v>38</v>
      </c>
      <c r="AK272">
        <v>146</v>
      </c>
      <c r="AL272" t="s">
        <v>74</v>
      </c>
      <c r="AM272" t="s">
        <v>74</v>
      </c>
      <c r="AN272" t="s">
        <v>74</v>
      </c>
      <c r="AO272" t="s">
        <v>1193</v>
      </c>
      <c r="AP272" t="s">
        <v>1194</v>
      </c>
      <c r="AQ272" t="s">
        <v>74</v>
      </c>
      <c r="AR272" t="s">
        <v>74</v>
      </c>
      <c r="AS272" t="s">
        <v>74</v>
      </c>
      <c r="AT272" t="s">
        <v>728</v>
      </c>
      <c r="AU272">
        <v>2021</v>
      </c>
      <c r="AV272">
        <v>221</v>
      </c>
      <c r="AW272" t="s">
        <v>74</v>
      </c>
      <c r="AX272" t="s">
        <v>74</v>
      </c>
      <c r="AY272" t="s">
        <v>74</v>
      </c>
      <c r="AZ272" t="s">
        <v>74</v>
      </c>
      <c r="BA272" t="s">
        <v>74</v>
      </c>
      <c r="BB272" t="s">
        <v>74</v>
      </c>
      <c r="BC272" t="s">
        <v>74</v>
      </c>
      <c r="BD272">
        <v>121670</v>
      </c>
      <c r="BE272" t="s">
        <v>3029</v>
      </c>
      <c r="BF272" t="str">
        <f>HYPERLINK("http://dx.doi.org/10.1016/j.talanta.2020.121670","http://dx.doi.org/10.1016/j.talanta.2020.121670")</f>
        <v>http://dx.doi.org/10.1016/j.talanta.2020.121670</v>
      </c>
      <c r="BG272" t="s">
        <v>74</v>
      </c>
      <c r="BH272" t="s">
        <v>74</v>
      </c>
      <c r="BI272" t="s">
        <v>74</v>
      </c>
      <c r="BJ272" t="s">
        <v>1196</v>
      </c>
      <c r="BK272" t="s">
        <v>112</v>
      </c>
      <c r="BL272" t="s">
        <v>1197</v>
      </c>
      <c r="BM272" t="s">
        <v>74</v>
      </c>
      <c r="BN272">
        <v>33076176</v>
      </c>
      <c r="BO272" t="s">
        <v>74</v>
      </c>
      <c r="BP272" t="s">
        <v>74</v>
      </c>
      <c r="BQ272" t="s">
        <v>74</v>
      </c>
      <c r="BR272" t="s">
        <v>93</v>
      </c>
      <c r="BS272" t="s">
        <v>3030</v>
      </c>
      <c r="BT272" t="str">
        <f>HYPERLINK("https%3A%2F%2Fwww.webofscience.com%2Fwos%2Fwoscc%2Ffull-record%2FWOS:000579910600132","View Full Record in Web of Science")</f>
        <v>View Full Record in Web of Science</v>
      </c>
    </row>
    <row r="273" spans="1:72" x14ac:dyDescent="0.15">
      <c r="A273" t="s">
        <v>72</v>
      </c>
      <c r="B273" t="s">
        <v>3300</v>
      </c>
      <c r="C273" t="s">
        <v>74</v>
      </c>
      <c r="D273" t="s">
        <v>74</v>
      </c>
      <c r="E273" t="s">
        <v>74</v>
      </c>
      <c r="F273" t="s">
        <v>3301</v>
      </c>
      <c r="G273" t="s">
        <v>74</v>
      </c>
      <c r="H273" t="s">
        <v>74</v>
      </c>
      <c r="I273" t="s">
        <v>3302</v>
      </c>
      <c r="J273" t="s">
        <v>3303</v>
      </c>
      <c r="K273" t="s">
        <v>74</v>
      </c>
      <c r="L273" t="s">
        <v>74</v>
      </c>
      <c r="M273" t="s">
        <v>74</v>
      </c>
      <c r="N273" t="s">
        <v>78</v>
      </c>
      <c r="O273" t="s">
        <v>74</v>
      </c>
      <c r="P273" t="s">
        <v>74</v>
      </c>
      <c r="Q273" t="s">
        <v>74</v>
      </c>
      <c r="R273" t="s">
        <v>74</v>
      </c>
      <c r="S273" t="s">
        <v>74</v>
      </c>
      <c r="T273" t="s">
        <v>3304</v>
      </c>
      <c r="U273" t="s">
        <v>3305</v>
      </c>
      <c r="V273" t="s">
        <v>3306</v>
      </c>
      <c r="W273" t="s">
        <v>3307</v>
      </c>
      <c r="X273" t="s">
        <v>3308</v>
      </c>
      <c r="Y273" t="s">
        <v>3309</v>
      </c>
      <c r="Z273" t="s">
        <v>3310</v>
      </c>
      <c r="AA273" t="s">
        <v>74</v>
      </c>
      <c r="AB273" t="s">
        <v>74</v>
      </c>
      <c r="AC273" t="s">
        <v>74</v>
      </c>
      <c r="AD273" t="s">
        <v>74</v>
      </c>
      <c r="AE273" t="s">
        <v>74</v>
      </c>
      <c r="AF273" t="s">
        <v>74</v>
      </c>
      <c r="AG273">
        <v>34</v>
      </c>
      <c r="AH273">
        <v>22</v>
      </c>
      <c r="AI273">
        <v>22</v>
      </c>
      <c r="AJ273">
        <v>0</v>
      </c>
      <c r="AK273">
        <v>16</v>
      </c>
      <c r="AL273" t="s">
        <v>74</v>
      </c>
      <c r="AM273" t="s">
        <v>74</v>
      </c>
      <c r="AN273" t="s">
        <v>74</v>
      </c>
      <c r="AO273" t="s">
        <v>3311</v>
      </c>
      <c r="AP273" t="s">
        <v>3312</v>
      </c>
      <c r="AQ273" t="s">
        <v>74</v>
      </c>
      <c r="AR273" t="s">
        <v>74</v>
      </c>
      <c r="AS273" t="s">
        <v>74</v>
      </c>
      <c r="AT273" t="s">
        <v>818</v>
      </c>
      <c r="AU273">
        <v>2015</v>
      </c>
      <c r="AV273">
        <v>129</v>
      </c>
      <c r="AW273">
        <v>3</v>
      </c>
      <c r="AX273" t="s">
        <v>74</v>
      </c>
      <c r="AY273" t="s">
        <v>74</v>
      </c>
      <c r="AZ273" t="s">
        <v>74</v>
      </c>
      <c r="BA273" t="s">
        <v>74</v>
      </c>
      <c r="BB273">
        <v>259</v>
      </c>
      <c r="BC273">
        <v>269</v>
      </c>
      <c r="BD273" t="s">
        <v>74</v>
      </c>
      <c r="BE273" t="s">
        <v>3313</v>
      </c>
      <c r="BF273" t="str">
        <f>HYPERLINK("http://dx.doi.org/10.1042/CS20140826","http://dx.doi.org/10.1042/CS20140826")</f>
        <v>http://dx.doi.org/10.1042/CS20140826</v>
      </c>
      <c r="BG273" t="s">
        <v>74</v>
      </c>
      <c r="BH273" t="s">
        <v>74</v>
      </c>
      <c r="BI273" t="s">
        <v>74</v>
      </c>
      <c r="BJ273" t="s">
        <v>506</v>
      </c>
      <c r="BK273" t="s">
        <v>112</v>
      </c>
      <c r="BL273" t="s">
        <v>507</v>
      </c>
      <c r="BM273" t="s">
        <v>74</v>
      </c>
      <c r="BN273">
        <v>25783200</v>
      </c>
      <c r="BO273" t="s">
        <v>74</v>
      </c>
      <c r="BP273" t="s">
        <v>74</v>
      </c>
      <c r="BQ273" t="s">
        <v>74</v>
      </c>
      <c r="BR273" t="s">
        <v>93</v>
      </c>
      <c r="BS273" t="s">
        <v>3314</v>
      </c>
      <c r="BT273" t="str">
        <f>HYPERLINK("https%3A%2F%2Fwww.webofscience.com%2Fwos%2Fwoscc%2Ffull-record%2FWOS:000355144700004","View Full Record in Web of Science")</f>
        <v>View Full Record in Web of Science</v>
      </c>
    </row>
    <row r="274" spans="1:72" x14ac:dyDescent="0.15">
      <c r="A274" t="s">
        <v>72</v>
      </c>
      <c r="B274" t="s">
        <v>5459</v>
      </c>
      <c r="C274" t="s">
        <v>74</v>
      </c>
      <c r="D274" t="s">
        <v>74</v>
      </c>
      <c r="E274" t="s">
        <v>74</v>
      </c>
      <c r="F274" t="s">
        <v>5460</v>
      </c>
      <c r="G274" t="s">
        <v>74</v>
      </c>
      <c r="H274" t="s">
        <v>74</v>
      </c>
      <c r="I274" t="s">
        <v>5461</v>
      </c>
      <c r="J274" t="s">
        <v>5462</v>
      </c>
      <c r="K274" t="s">
        <v>74</v>
      </c>
      <c r="L274" t="s">
        <v>74</v>
      </c>
      <c r="M274" t="s">
        <v>74</v>
      </c>
      <c r="N274" t="s">
        <v>78</v>
      </c>
      <c r="O274" t="s">
        <v>74</v>
      </c>
      <c r="P274" t="s">
        <v>74</v>
      </c>
      <c r="Q274" t="s">
        <v>74</v>
      </c>
      <c r="R274" t="s">
        <v>74</v>
      </c>
      <c r="S274" t="s">
        <v>74</v>
      </c>
      <c r="T274" t="s">
        <v>5463</v>
      </c>
      <c r="U274" t="s">
        <v>5464</v>
      </c>
      <c r="V274" t="s">
        <v>5465</v>
      </c>
      <c r="W274" t="s">
        <v>5466</v>
      </c>
      <c r="X274" t="s">
        <v>5467</v>
      </c>
      <c r="Y274" t="s">
        <v>5468</v>
      </c>
      <c r="Z274" t="s">
        <v>5469</v>
      </c>
      <c r="AA274" t="s">
        <v>5470</v>
      </c>
      <c r="AB274" t="s">
        <v>5471</v>
      </c>
      <c r="AC274" t="s">
        <v>74</v>
      </c>
      <c r="AD274" t="s">
        <v>74</v>
      </c>
      <c r="AE274" t="s">
        <v>74</v>
      </c>
      <c r="AF274" t="s">
        <v>74</v>
      </c>
      <c r="AG274">
        <v>77</v>
      </c>
      <c r="AH274">
        <v>22</v>
      </c>
      <c r="AI274">
        <v>23</v>
      </c>
      <c r="AJ274">
        <v>2</v>
      </c>
      <c r="AK274">
        <v>10</v>
      </c>
      <c r="AL274" t="s">
        <v>74</v>
      </c>
      <c r="AM274" t="s">
        <v>74</v>
      </c>
      <c r="AN274" t="s">
        <v>74</v>
      </c>
      <c r="AO274" t="s">
        <v>5472</v>
      </c>
      <c r="AP274" t="s">
        <v>5473</v>
      </c>
      <c r="AQ274" t="s">
        <v>74</v>
      </c>
      <c r="AR274" t="s">
        <v>74</v>
      </c>
      <c r="AS274" t="s">
        <v>74</v>
      </c>
      <c r="AT274" t="s">
        <v>659</v>
      </c>
      <c r="AU274">
        <v>2020</v>
      </c>
      <c r="AV274">
        <v>159</v>
      </c>
      <c r="AW274">
        <v>3</v>
      </c>
      <c r="AX274" t="s">
        <v>74</v>
      </c>
      <c r="AY274" t="s">
        <v>74</v>
      </c>
      <c r="AZ274" t="s">
        <v>74</v>
      </c>
      <c r="BA274" t="s">
        <v>74</v>
      </c>
      <c r="BB274">
        <v>1019</v>
      </c>
      <c r="BC274" t="s">
        <v>109</v>
      </c>
      <c r="BD274" t="s">
        <v>74</v>
      </c>
      <c r="BE274" t="s">
        <v>5474</v>
      </c>
      <c r="BF274" t="str">
        <f>HYPERLINK("http://dx.doi.org/10.1053/j.gastro.2020.05.052","http://dx.doi.org/10.1053/j.gastro.2020.05.052")</f>
        <v>http://dx.doi.org/10.1053/j.gastro.2020.05.052</v>
      </c>
      <c r="BG274" t="s">
        <v>74</v>
      </c>
      <c r="BH274" t="s">
        <v>74</v>
      </c>
      <c r="BI274" t="s">
        <v>74</v>
      </c>
      <c r="BJ274" t="s">
        <v>5475</v>
      </c>
      <c r="BK274" t="s">
        <v>112</v>
      </c>
      <c r="BL274" t="s">
        <v>5475</v>
      </c>
      <c r="BM274" t="s">
        <v>74</v>
      </c>
      <c r="BN274">
        <v>32446697</v>
      </c>
      <c r="BO274" t="s">
        <v>74</v>
      </c>
      <c r="BP274" t="s">
        <v>74</v>
      </c>
      <c r="BQ274" t="s">
        <v>74</v>
      </c>
      <c r="BR274" t="s">
        <v>93</v>
      </c>
      <c r="BS274" t="s">
        <v>5476</v>
      </c>
      <c r="BT274" t="str">
        <f>HYPERLINK("https%3A%2F%2Fwww.webofscience.com%2Fwos%2Fwoscc%2Ffull-record%2FWOS:000573089700006","View Full Record in Web of Science")</f>
        <v>View Full Record in Web of Science</v>
      </c>
    </row>
    <row r="275" spans="1:72" x14ac:dyDescent="0.15">
      <c r="A275" t="s">
        <v>72</v>
      </c>
      <c r="B275" t="s">
        <v>5603</v>
      </c>
      <c r="C275" t="s">
        <v>74</v>
      </c>
      <c r="D275" t="s">
        <v>74</v>
      </c>
      <c r="E275" t="s">
        <v>74</v>
      </c>
      <c r="F275" t="s">
        <v>5604</v>
      </c>
      <c r="G275" t="s">
        <v>74</v>
      </c>
      <c r="H275" t="s">
        <v>74</v>
      </c>
      <c r="I275" t="s">
        <v>5605</v>
      </c>
      <c r="J275" t="s">
        <v>3534</v>
      </c>
      <c r="K275" t="s">
        <v>74</v>
      </c>
      <c r="L275" t="s">
        <v>74</v>
      </c>
      <c r="M275" t="s">
        <v>74</v>
      </c>
      <c r="N275" t="s">
        <v>78</v>
      </c>
      <c r="O275" t="s">
        <v>74</v>
      </c>
      <c r="P275" t="s">
        <v>74</v>
      </c>
      <c r="Q275" t="s">
        <v>74</v>
      </c>
      <c r="R275" t="s">
        <v>74</v>
      </c>
      <c r="S275" t="s">
        <v>74</v>
      </c>
      <c r="T275" t="s">
        <v>5606</v>
      </c>
      <c r="U275" t="s">
        <v>5607</v>
      </c>
      <c r="V275" t="s">
        <v>5608</v>
      </c>
      <c r="W275" t="s">
        <v>5609</v>
      </c>
      <c r="X275" t="s">
        <v>5610</v>
      </c>
      <c r="Y275" t="s">
        <v>5611</v>
      </c>
      <c r="Z275" t="s">
        <v>5612</v>
      </c>
      <c r="AA275" t="s">
        <v>3542</v>
      </c>
      <c r="AB275" t="s">
        <v>5613</v>
      </c>
      <c r="AC275" t="s">
        <v>74</v>
      </c>
      <c r="AD275" t="s">
        <v>74</v>
      </c>
      <c r="AE275" t="s">
        <v>74</v>
      </c>
      <c r="AF275" t="s">
        <v>74</v>
      </c>
      <c r="AG275">
        <v>27</v>
      </c>
      <c r="AH275">
        <v>22</v>
      </c>
      <c r="AI275">
        <v>22</v>
      </c>
      <c r="AJ275">
        <v>4</v>
      </c>
      <c r="AK275">
        <v>12</v>
      </c>
      <c r="AL275" t="s">
        <v>74</v>
      </c>
      <c r="AM275" t="s">
        <v>74</v>
      </c>
      <c r="AN275" t="s">
        <v>74</v>
      </c>
      <c r="AO275" t="s">
        <v>3544</v>
      </c>
      <c r="AP275" t="s">
        <v>3545</v>
      </c>
      <c r="AQ275" t="s">
        <v>74</v>
      </c>
      <c r="AR275" t="s">
        <v>74</v>
      </c>
      <c r="AS275" t="s">
        <v>74</v>
      </c>
      <c r="AT275" t="s">
        <v>659</v>
      </c>
      <c r="AU275">
        <v>2017</v>
      </c>
      <c r="AV275">
        <v>9</v>
      </c>
      <c r="AW275">
        <v>5</v>
      </c>
      <c r="AX275" t="s">
        <v>74</v>
      </c>
      <c r="AY275" t="s">
        <v>74</v>
      </c>
      <c r="AZ275" t="s">
        <v>74</v>
      </c>
      <c r="BA275" t="s">
        <v>74</v>
      </c>
      <c r="BB275">
        <v>453</v>
      </c>
      <c r="BC275">
        <v>461</v>
      </c>
      <c r="BD275" t="s">
        <v>74</v>
      </c>
      <c r="BE275" t="s">
        <v>5614</v>
      </c>
      <c r="BF275" t="str">
        <f>HYPERLINK("http://dx.doi.org/10.4168/aair.2017.9.5.453","http://dx.doi.org/10.4168/aair.2017.9.5.453")</f>
        <v>http://dx.doi.org/10.4168/aair.2017.9.5.453</v>
      </c>
      <c r="BG275" t="s">
        <v>74</v>
      </c>
      <c r="BH275" t="s">
        <v>74</v>
      </c>
      <c r="BI275" t="s">
        <v>74</v>
      </c>
      <c r="BJ275" t="s">
        <v>904</v>
      </c>
      <c r="BK275" t="s">
        <v>112</v>
      </c>
      <c r="BL275" t="s">
        <v>904</v>
      </c>
      <c r="BM275" t="s">
        <v>74</v>
      </c>
      <c r="BN275">
        <v>28677360</v>
      </c>
      <c r="BO275" t="s">
        <v>74</v>
      </c>
      <c r="BP275" t="s">
        <v>74</v>
      </c>
      <c r="BQ275" t="s">
        <v>74</v>
      </c>
      <c r="BR275" t="s">
        <v>93</v>
      </c>
      <c r="BS275" t="s">
        <v>5615</v>
      </c>
      <c r="BT275" t="str">
        <f>HYPERLINK("https%3A%2F%2Fwww.webofscience.com%2Fwos%2Fwoscc%2Ffull-record%2FWOS:000409288100011","View Full Record in Web of Science")</f>
        <v>View Full Record in Web of Science</v>
      </c>
    </row>
    <row r="276" spans="1:72" x14ac:dyDescent="0.15">
      <c r="A276" t="s">
        <v>72</v>
      </c>
      <c r="B276" t="s">
        <v>5726</v>
      </c>
      <c r="C276" t="s">
        <v>74</v>
      </c>
      <c r="D276" t="s">
        <v>74</v>
      </c>
      <c r="E276" t="s">
        <v>74</v>
      </c>
      <c r="F276" t="s">
        <v>5727</v>
      </c>
      <c r="G276" t="s">
        <v>74</v>
      </c>
      <c r="H276" t="s">
        <v>74</v>
      </c>
      <c r="I276" t="s">
        <v>5728</v>
      </c>
      <c r="J276" t="s">
        <v>5729</v>
      </c>
      <c r="K276" t="s">
        <v>74</v>
      </c>
      <c r="L276" t="s">
        <v>74</v>
      </c>
      <c r="M276" t="s">
        <v>74</v>
      </c>
      <c r="N276" t="s">
        <v>78</v>
      </c>
      <c r="O276" t="s">
        <v>74</v>
      </c>
      <c r="P276" t="s">
        <v>74</v>
      </c>
      <c r="Q276" t="s">
        <v>74</v>
      </c>
      <c r="R276" t="s">
        <v>74</v>
      </c>
      <c r="S276" t="s">
        <v>74</v>
      </c>
      <c r="T276" t="s">
        <v>5730</v>
      </c>
      <c r="U276" t="s">
        <v>5731</v>
      </c>
      <c r="V276" t="s">
        <v>5732</v>
      </c>
      <c r="W276" t="s">
        <v>5733</v>
      </c>
      <c r="X276" t="s">
        <v>5734</v>
      </c>
      <c r="Y276" t="s">
        <v>5735</v>
      </c>
      <c r="Z276" t="s">
        <v>5736</v>
      </c>
      <c r="AA276" t="s">
        <v>5737</v>
      </c>
      <c r="AB276" t="s">
        <v>5738</v>
      </c>
      <c r="AC276" t="s">
        <v>74</v>
      </c>
      <c r="AD276" t="s">
        <v>74</v>
      </c>
      <c r="AE276" t="s">
        <v>74</v>
      </c>
      <c r="AF276" t="s">
        <v>74</v>
      </c>
      <c r="AG276">
        <v>35</v>
      </c>
      <c r="AH276">
        <v>22</v>
      </c>
      <c r="AI276">
        <v>22</v>
      </c>
      <c r="AJ276">
        <v>0</v>
      </c>
      <c r="AK276">
        <v>9</v>
      </c>
      <c r="AL276" t="s">
        <v>74</v>
      </c>
      <c r="AM276" t="s">
        <v>74</v>
      </c>
      <c r="AN276" t="s">
        <v>74</v>
      </c>
      <c r="AO276" t="s">
        <v>5739</v>
      </c>
      <c r="AP276" t="s">
        <v>5740</v>
      </c>
      <c r="AQ276" t="s">
        <v>74</v>
      </c>
      <c r="AR276" t="s">
        <v>74</v>
      </c>
      <c r="AS276" t="s">
        <v>74</v>
      </c>
      <c r="AT276" t="s">
        <v>171</v>
      </c>
      <c r="AU276">
        <v>2018</v>
      </c>
      <c r="AV276" t="s">
        <v>5741</v>
      </c>
      <c r="AW276">
        <v>12</v>
      </c>
      <c r="AX276" t="s">
        <v>74</v>
      </c>
      <c r="AY276" t="s">
        <v>74</v>
      </c>
      <c r="AZ276" t="s">
        <v>1075</v>
      </c>
      <c r="BA276" t="s">
        <v>74</v>
      </c>
      <c r="BB276">
        <v>1207</v>
      </c>
      <c r="BC276">
        <v>1212</v>
      </c>
      <c r="BD276" t="s">
        <v>74</v>
      </c>
      <c r="BE276" t="s">
        <v>5742</v>
      </c>
      <c r="BF276" t="str">
        <f>HYPERLINK("http://dx.doi.org/10.1002/cyto.a.23641","http://dx.doi.org/10.1002/cyto.a.23641")</f>
        <v>http://dx.doi.org/10.1002/cyto.a.23641</v>
      </c>
      <c r="BG276" t="s">
        <v>74</v>
      </c>
      <c r="BH276" t="s">
        <v>74</v>
      </c>
      <c r="BI276" t="s">
        <v>74</v>
      </c>
      <c r="BJ276" t="s">
        <v>5743</v>
      </c>
      <c r="BK276" t="s">
        <v>112</v>
      </c>
      <c r="BL276" t="s">
        <v>1493</v>
      </c>
      <c r="BM276" t="s">
        <v>74</v>
      </c>
      <c r="BN276">
        <v>30551256</v>
      </c>
      <c r="BO276" t="s">
        <v>74</v>
      </c>
      <c r="BP276" t="s">
        <v>74</v>
      </c>
      <c r="BQ276" t="s">
        <v>74</v>
      </c>
      <c r="BR276" t="s">
        <v>93</v>
      </c>
      <c r="BS276" t="s">
        <v>5744</v>
      </c>
      <c r="BT276" t="str">
        <f>HYPERLINK("https%3A%2F%2Fwww.webofscience.com%2Fwos%2Fwoscc%2Ffull-record%2FWOS:000453599300006","View Full Record in Web of Science")</f>
        <v>View Full Record in Web of Science</v>
      </c>
    </row>
    <row r="277" spans="1:72" x14ac:dyDescent="0.15">
      <c r="A277" t="s">
        <v>72</v>
      </c>
      <c r="B277" t="s">
        <v>6366</v>
      </c>
      <c r="C277" t="s">
        <v>74</v>
      </c>
      <c r="D277" t="s">
        <v>74</v>
      </c>
      <c r="E277" t="s">
        <v>74</v>
      </c>
      <c r="F277" t="s">
        <v>6367</v>
      </c>
      <c r="G277" t="s">
        <v>74</v>
      </c>
      <c r="H277" t="s">
        <v>74</v>
      </c>
      <c r="I277" t="s">
        <v>6368</v>
      </c>
      <c r="J277" t="s">
        <v>992</v>
      </c>
      <c r="K277" t="s">
        <v>74</v>
      </c>
      <c r="L277" t="s">
        <v>74</v>
      </c>
      <c r="M277" t="s">
        <v>74</v>
      </c>
      <c r="N277" t="s">
        <v>78</v>
      </c>
      <c r="O277" t="s">
        <v>74</v>
      </c>
      <c r="P277" t="s">
        <v>74</v>
      </c>
      <c r="Q277" t="s">
        <v>74</v>
      </c>
      <c r="R277" t="s">
        <v>74</v>
      </c>
      <c r="S277" t="s">
        <v>74</v>
      </c>
      <c r="T277" t="s">
        <v>6369</v>
      </c>
      <c r="U277" t="s">
        <v>6370</v>
      </c>
      <c r="V277" t="s">
        <v>6371</v>
      </c>
      <c r="W277" t="s">
        <v>6372</v>
      </c>
      <c r="X277" t="s">
        <v>4223</v>
      </c>
      <c r="Y277" t="s">
        <v>6373</v>
      </c>
      <c r="Z277" t="s">
        <v>6374</v>
      </c>
      <c r="AA277" t="s">
        <v>74</v>
      </c>
      <c r="AB277" t="s">
        <v>74</v>
      </c>
      <c r="AC277" t="s">
        <v>74</v>
      </c>
      <c r="AD277" t="s">
        <v>74</v>
      </c>
      <c r="AE277" t="s">
        <v>74</v>
      </c>
      <c r="AF277" t="s">
        <v>74</v>
      </c>
      <c r="AG277">
        <v>48</v>
      </c>
      <c r="AH277">
        <v>22</v>
      </c>
      <c r="AI277">
        <v>22</v>
      </c>
      <c r="AJ277">
        <v>50</v>
      </c>
      <c r="AK277">
        <v>265</v>
      </c>
      <c r="AL277" t="s">
        <v>74</v>
      </c>
      <c r="AM277" t="s">
        <v>74</v>
      </c>
      <c r="AN277" t="s">
        <v>74</v>
      </c>
      <c r="AO277" t="s">
        <v>1001</v>
      </c>
      <c r="AP277" t="s">
        <v>1002</v>
      </c>
      <c r="AQ277" t="s">
        <v>74</v>
      </c>
      <c r="AR277" t="s">
        <v>74</v>
      </c>
      <c r="AS277" t="s">
        <v>74</v>
      </c>
      <c r="AT277" t="s">
        <v>728</v>
      </c>
      <c r="AU277">
        <v>2021</v>
      </c>
      <c r="AV277">
        <v>171</v>
      </c>
      <c r="AW277" t="s">
        <v>74</v>
      </c>
      <c r="AX277" t="s">
        <v>74</v>
      </c>
      <c r="AY277" t="s">
        <v>74</v>
      </c>
      <c r="AZ277" t="s">
        <v>74</v>
      </c>
      <c r="BA277" t="s">
        <v>74</v>
      </c>
      <c r="BB277" t="s">
        <v>74</v>
      </c>
      <c r="BC277" t="s">
        <v>74</v>
      </c>
      <c r="BD277">
        <v>112733</v>
      </c>
      <c r="BE277" t="s">
        <v>6375</v>
      </c>
      <c r="BF277" t="str">
        <f>HYPERLINK("http://dx.doi.org/10.1016/j.bios.2020.112733","http://dx.doi.org/10.1016/j.bios.2020.112733")</f>
        <v>http://dx.doi.org/10.1016/j.bios.2020.112733</v>
      </c>
      <c r="BG277" t="s">
        <v>74</v>
      </c>
      <c r="BH277" t="s">
        <v>74</v>
      </c>
      <c r="BI277" t="s">
        <v>74</v>
      </c>
      <c r="BJ277" t="s">
        <v>1006</v>
      </c>
      <c r="BK277" t="s">
        <v>112</v>
      </c>
      <c r="BL277" t="s">
        <v>1007</v>
      </c>
      <c r="BM277" t="s">
        <v>74</v>
      </c>
      <c r="BN277">
        <v>33096430</v>
      </c>
      <c r="BO277" t="s">
        <v>74</v>
      </c>
      <c r="BP277" t="s">
        <v>74</v>
      </c>
      <c r="BQ277" t="s">
        <v>74</v>
      </c>
      <c r="BR277" t="s">
        <v>93</v>
      </c>
      <c r="BS277" t="s">
        <v>6376</v>
      </c>
      <c r="BT277" t="str">
        <f>HYPERLINK("https%3A%2F%2Fwww.webofscience.com%2Fwos%2Fwoscc%2Ffull-record%2FWOS:000603553700003","View Full Record in Web of Science")</f>
        <v>View Full Record in Web of Science</v>
      </c>
    </row>
    <row r="278" spans="1:72" x14ac:dyDescent="0.15">
      <c r="A278" t="s">
        <v>72</v>
      </c>
      <c r="B278" t="s">
        <v>7536</v>
      </c>
      <c r="C278" t="s">
        <v>74</v>
      </c>
      <c r="D278" t="s">
        <v>74</v>
      </c>
      <c r="E278" t="s">
        <v>74</v>
      </c>
      <c r="F278" t="s">
        <v>7537</v>
      </c>
      <c r="G278" t="s">
        <v>74</v>
      </c>
      <c r="H278" t="s">
        <v>74</v>
      </c>
      <c r="I278" t="s">
        <v>7538</v>
      </c>
      <c r="J278" t="s">
        <v>7539</v>
      </c>
      <c r="K278" t="s">
        <v>74</v>
      </c>
      <c r="L278" t="s">
        <v>74</v>
      </c>
      <c r="M278" t="s">
        <v>74</v>
      </c>
      <c r="N278" t="s">
        <v>78</v>
      </c>
      <c r="O278" t="s">
        <v>74</v>
      </c>
      <c r="P278" t="s">
        <v>74</v>
      </c>
      <c r="Q278" t="s">
        <v>74</v>
      </c>
      <c r="R278" t="s">
        <v>74</v>
      </c>
      <c r="S278" t="s">
        <v>74</v>
      </c>
      <c r="T278" t="s">
        <v>7540</v>
      </c>
      <c r="U278" t="s">
        <v>7541</v>
      </c>
      <c r="V278" t="s">
        <v>7542</v>
      </c>
      <c r="W278" t="s">
        <v>7543</v>
      </c>
      <c r="X278" t="s">
        <v>7544</v>
      </c>
      <c r="Y278" t="s">
        <v>7545</v>
      </c>
      <c r="Z278" t="s">
        <v>7546</v>
      </c>
      <c r="AA278" t="s">
        <v>74</v>
      </c>
      <c r="AB278" t="s">
        <v>7547</v>
      </c>
      <c r="AC278" t="s">
        <v>74</v>
      </c>
      <c r="AD278" t="s">
        <v>74</v>
      </c>
      <c r="AE278" t="s">
        <v>74</v>
      </c>
      <c r="AF278" t="s">
        <v>74</v>
      </c>
      <c r="AG278">
        <v>51</v>
      </c>
      <c r="AH278">
        <v>22</v>
      </c>
      <c r="AI278">
        <v>22</v>
      </c>
      <c r="AJ278">
        <v>1</v>
      </c>
      <c r="AK278">
        <v>5</v>
      </c>
      <c r="AL278" t="s">
        <v>74</v>
      </c>
      <c r="AM278" t="s">
        <v>74</v>
      </c>
      <c r="AN278" t="s">
        <v>74</v>
      </c>
      <c r="AO278" t="s">
        <v>7548</v>
      </c>
      <c r="AP278" t="s">
        <v>74</v>
      </c>
      <c r="AQ278" t="s">
        <v>74</v>
      </c>
      <c r="AR278" t="s">
        <v>74</v>
      </c>
      <c r="AS278" t="s">
        <v>74</v>
      </c>
      <c r="AT278" t="s">
        <v>640</v>
      </c>
      <c r="AU278">
        <v>2020</v>
      </c>
      <c r="AV278">
        <v>9</v>
      </c>
      <c r="AW278">
        <v>3</v>
      </c>
      <c r="AX278" t="s">
        <v>74</v>
      </c>
      <c r="AY278" t="s">
        <v>74</v>
      </c>
      <c r="AZ278" t="s">
        <v>74</v>
      </c>
      <c r="BA278" t="s">
        <v>74</v>
      </c>
      <c r="BB278">
        <v>1230</v>
      </c>
      <c r="BC278">
        <v>1241</v>
      </c>
      <c r="BD278" t="s">
        <v>74</v>
      </c>
      <c r="BE278" t="s">
        <v>7549</v>
      </c>
      <c r="BF278" t="str">
        <f>HYPERLINK("http://dx.doi.org/10.1002/cam4.2676","http://dx.doi.org/10.1002/cam4.2676")</f>
        <v>http://dx.doi.org/10.1002/cam4.2676</v>
      </c>
      <c r="BG278" t="s">
        <v>74</v>
      </c>
      <c r="BH278" t="s">
        <v>7550</v>
      </c>
      <c r="BI278" t="s">
        <v>74</v>
      </c>
      <c r="BJ278" t="s">
        <v>146</v>
      </c>
      <c r="BK278" t="s">
        <v>112</v>
      </c>
      <c r="BL278" t="s">
        <v>146</v>
      </c>
      <c r="BM278" t="s">
        <v>74</v>
      </c>
      <c r="BN278">
        <v>31856390</v>
      </c>
      <c r="BO278" t="s">
        <v>74</v>
      </c>
      <c r="BP278" t="s">
        <v>74</v>
      </c>
      <c r="BQ278" t="s">
        <v>74</v>
      </c>
      <c r="BR278" t="s">
        <v>93</v>
      </c>
      <c r="BS278" t="s">
        <v>7551</v>
      </c>
      <c r="BT278" t="str">
        <f>HYPERLINK("https%3A%2F%2Fwww.webofscience.com%2Fwos%2Fwoscc%2Ffull-record%2FWOS:000503335700001","View Full Record in Web of Science")</f>
        <v>View Full Record in Web of Science</v>
      </c>
    </row>
    <row r="279" spans="1:72" x14ac:dyDescent="0.15">
      <c r="A279" t="s">
        <v>72</v>
      </c>
      <c r="B279" t="s">
        <v>10075</v>
      </c>
      <c r="C279" t="s">
        <v>74</v>
      </c>
      <c r="D279" t="s">
        <v>74</v>
      </c>
      <c r="E279" t="s">
        <v>74</v>
      </c>
      <c r="F279" t="s">
        <v>10076</v>
      </c>
      <c r="G279" t="s">
        <v>74</v>
      </c>
      <c r="H279" t="s">
        <v>74</v>
      </c>
      <c r="I279" t="s">
        <v>10077</v>
      </c>
      <c r="J279" t="s">
        <v>568</v>
      </c>
      <c r="K279" t="s">
        <v>74</v>
      </c>
      <c r="L279" t="s">
        <v>74</v>
      </c>
      <c r="M279" t="s">
        <v>74</v>
      </c>
      <c r="N279" t="s">
        <v>78</v>
      </c>
      <c r="O279" t="s">
        <v>74</v>
      </c>
      <c r="P279" t="s">
        <v>74</v>
      </c>
      <c r="Q279" t="s">
        <v>74</v>
      </c>
      <c r="R279" t="s">
        <v>74</v>
      </c>
      <c r="S279" t="s">
        <v>74</v>
      </c>
      <c r="T279" t="s">
        <v>74</v>
      </c>
      <c r="U279" t="s">
        <v>10078</v>
      </c>
      <c r="V279" t="s">
        <v>10079</v>
      </c>
      <c r="W279" t="s">
        <v>10080</v>
      </c>
      <c r="X279" t="s">
        <v>10081</v>
      </c>
      <c r="Y279" t="s">
        <v>10082</v>
      </c>
      <c r="Z279" t="s">
        <v>10083</v>
      </c>
      <c r="AA279" t="s">
        <v>10084</v>
      </c>
      <c r="AB279" t="s">
        <v>10085</v>
      </c>
      <c r="AC279" t="s">
        <v>74</v>
      </c>
      <c r="AD279" t="s">
        <v>74</v>
      </c>
      <c r="AE279" t="s">
        <v>74</v>
      </c>
      <c r="AF279" t="s">
        <v>74</v>
      </c>
      <c r="AG279">
        <v>50</v>
      </c>
      <c r="AH279">
        <v>22</v>
      </c>
      <c r="AI279">
        <v>24</v>
      </c>
      <c r="AJ279">
        <v>0</v>
      </c>
      <c r="AK279">
        <v>11</v>
      </c>
      <c r="AL279" t="s">
        <v>74</v>
      </c>
      <c r="AM279" t="s">
        <v>74</v>
      </c>
      <c r="AN279" t="s">
        <v>74</v>
      </c>
      <c r="AO279" t="s">
        <v>577</v>
      </c>
      <c r="AP279" t="s">
        <v>74</v>
      </c>
      <c r="AQ279" t="s">
        <v>74</v>
      </c>
      <c r="AR279" t="s">
        <v>74</v>
      </c>
      <c r="AS279" t="s">
        <v>74</v>
      </c>
      <c r="AT279" t="s">
        <v>10086</v>
      </c>
      <c r="AU279">
        <v>2015</v>
      </c>
      <c r="AV279">
        <v>10</v>
      </c>
      <c r="AW279">
        <v>5</v>
      </c>
      <c r="AX279" t="s">
        <v>74</v>
      </c>
      <c r="AY279" t="s">
        <v>74</v>
      </c>
      <c r="AZ279" t="s">
        <v>74</v>
      </c>
      <c r="BA279" t="s">
        <v>74</v>
      </c>
      <c r="BB279" t="s">
        <v>74</v>
      </c>
      <c r="BC279" t="s">
        <v>74</v>
      </c>
      <c r="BD279" t="s">
        <v>10087</v>
      </c>
      <c r="BE279" t="s">
        <v>10088</v>
      </c>
      <c r="BF279" t="str">
        <f>HYPERLINK("http://dx.doi.org/10.1371/journal.pone.0128076","http://dx.doi.org/10.1371/journal.pone.0128076")</f>
        <v>http://dx.doi.org/10.1371/journal.pone.0128076</v>
      </c>
      <c r="BG279" t="s">
        <v>74</v>
      </c>
      <c r="BH279" t="s">
        <v>74</v>
      </c>
      <c r="BI279" t="s">
        <v>74</v>
      </c>
      <c r="BJ279" t="s">
        <v>545</v>
      </c>
      <c r="BK279" t="s">
        <v>112</v>
      </c>
      <c r="BL279" t="s">
        <v>546</v>
      </c>
      <c r="BM279" t="s">
        <v>74</v>
      </c>
      <c r="BN279">
        <v>26018205</v>
      </c>
      <c r="BO279" t="s">
        <v>74</v>
      </c>
      <c r="BP279" t="s">
        <v>74</v>
      </c>
      <c r="BQ279" t="s">
        <v>74</v>
      </c>
      <c r="BR279" t="s">
        <v>93</v>
      </c>
      <c r="BS279" t="s">
        <v>10089</v>
      </c>
      <c r="BT279" t="str">
        <f>HYPERLINK("https%3A%2F%2Fwww.webofscience.com%2Fwos%2Fwoscc%2Ffull-record%2FWOS:000355185600109","View Full Record in Web of Science")</f>
        <v>View Full Record in Web of Science</v>
      </c>
    </row>
    <row r="280" spans="1:72" x14ac:dyDescent="0.15">
      <c r="A280" t="s">
        <v>72</v>
      </c>
      <c r="B280" t="s">
        <v>10183</v>
      </c>
      <c r="C280" t="s">
        <v>74</v>
      </c>
      <c r="D280" t="s">
        <v>74</v>
      </c>
      <c r="E280" t="s">
        <v>74</v>
      </c>
      <c r="F280" t="s">
        <v>10184</v>
      </c>
      <c r="G280" t="s">
        <v>74</v>
      </c>
      <c r="H280" t="s">
        <v>74</v>
      </c>
      <c r="I280" t="s">
        <v>10185</v>
      </c>
      <c r="J280" t="s">
        <v>10186</v>
      </c>
      <c r="K280" t="s">
        <v>74</v>
      </c>
      <c r="L280" t="s">
        <v>74</v>
      </c>
      <c r="M280" t="s">
        <v>74</v>
      </c>
      <c r="N280" t="s">
        <v>78</v>
      </c>
      <c r="O280" t="s">
        <v>74</v>
      </c>
      <c r="P280" t="s">
        <v>74</v>
      </c>
      <c r="Q280" t="s">
        <v>74</v>
      </c>
      <c r="R280" t="s">
        <v>74</v>
      </c>
      <c r="S280" t="s">
        <v>74</v>
      </c>
      <c r="T280" t="s">
        <v>74</v>
      </c>
      <c r="U280" t="s">
        <v>10187</v>
      </c>
      <c r="V280" t="s">
        <v>10188</v>
      </c>
      <c r="W280" t="s">
        <v>10189</v>
      </c>
      <c r="X280" t="s">
        <v>10190</v>
      </c>
      <c r="Y280" t="s">
        <v>10191</v>
      </c>
      <c r="Z280" t="s">
        <v>10192</v>
      </c>
      <c r="AA280" t="s">
        <v>10193</v>
      </c>
      <c r="AB280" t="s">
        <v>10194</v>
      </c>
      <c r="AC280" t="s">
        <v>74</v>
      </c>
      <c r="AD280" t="s">
        <v>74</v>
      </c>
      <c r="AE280" t="s">
        <v>74</v>
      </c>
      <c r="AF280" t="s">
        <v>74</v>
      </c>
      <c r="AG280">
        <v>41</v>
      </c>
      <c r="AH280">
        <v>22</v>
      </c>
      <c r="AI280">
        <v>23</v>
      </c>
      <c r="AJ280">
        <v>0</v>
      </c>
      <c r="AK280">
        <v>3</v>
      </c>
      <c r="AL280" t="s">
        <v>74</v>
      </c>
      <c r="AM280" t="s">
        <v>74</v>
      </c>
      <c r="AN280" t="s">
        <v>74</v>
      </c>
      <c r="AO280" t="s">
        <v>74</v>
      </c>
      <c r="AP280" t="s">
        <v>10195</v>
      </c>
      <c r="AQ280" t="s">
        <v>74</v>
      </c>
      <c r="AR280" t="s">
        <v>74</v>
      </c>
      <c r="AS280" t="s">
        <v>74</v>
      </c>
      <c r="AT280" t="s">
        <v>1111</v>
      </c>
      <c r="AU280">
        <v>2019</v>
      </c>
      <c r="AV280">
        <v>18</v>
      </c>
      <c r="AW280">
        <v>5</v>
      </c>
      <c r="AX280" t="s">
        <v>74</v>
      </c>
      <c r="AY280" t="s">
        <v>74</v>
      </c>
      <c r="AZ280" t="s">
        <v>74</v>
      </c>
      <c r="BA280" t="s">
        <v>74</v>
      </c>
      <c r="BB280">
        <v>865</v>
      </c>
      <c r="BC280">
        <v>875</v>
      </c>
      <c r="BD280" t="s">
        <v>74</v>
      </c>
      <c r="BE280" t="s">
        <v>10196</v>
      </c>
      <c r="BF280" t="str">
        <f>HYPERLINK("http://dx.doi.org/10.1074/mcp.RA119.001362","http://dx.doi.org/10.1074/mcp.RA119.001362")</f>
        <v>http://dx.doi.org/10.1074/mcp.RA119.001362</v>
      </c>
      <c r="BG280" t="s">
        <v>74</v>
      </c>
      <c r="BH280" t="s">
        <v>74</v>
      </c>
      <c r="BI280" t="s">
        <v>74</v>
      </c>
      <c r="BJ280" t="s">
        <v>90</v>
      </c>
      <c r="BK280" t="s">
        <v>112</v>
      </c>
      <c r="BL280" t="s">
        <v>92</v>
      </c>
      <c r="BM280" t="s">
        <v>74</v>
      </c>
      <c r="BN280" t="s">
        <v>74</v>
      </c>
      <c r="BO280" t="s">
        <v>74</v>
      </c>
      <c r="BP280" t="s">
        <v>74</v>
      </c>
      <c r="BQ280" t="s">
        <v>74</v>
      </c>
      <c r="BR280" t="s">
        <v>93</v>
      </c>
      <c r="BS280" t="s">
        <v>10197</v>
      </c>
      <c r="BT280" t="str">
        <f>HYPERLINK("https%3A%2F%2Fwww.webofscience.com%2Fwos%2Fwoscc%2Ffull-record%2FWOS:000467185700004","View Full Record in Web of Science")</f>
        <v>View Full Record in Web of Science</v>
      </c>
    </row>
    <row r="281" spans="1:72" x14ac:dyDescent="0.15">
      <c r="A281" t="s">
        <v>72</v>
      </c>
      <c r="B281" t="s">
        <v>10226</v>
      </c>
      <c r="C281" t="s">
        <v>74</v>
      </c>
      <c r="D281" t="s">
        <v>74</v>
      </c>
      <c r="E281" t="s">
        <v>74</v>
      </c>
      <c r="F281" t="s">
        <v>10226</v>
      </c>
      <c r="G281" t="s">
        <v>74</v>
      </c>
      <c r="H281" t="s">
        <v>74</v>
      </c>
      <c r="I281" t="s">
        <v>10227</v>
      </c>
      <c r="J281" t="s">
        <v>9181</v>
      </c>
      <c r="K281" t="s">
        <v>74</v>
      </c>
      <c r="L281" t="s">
        <v>74</v>
      </c>
      <c r="M281" t="s">
        <v>74</v>
      </c>
      <c r="N281" t="s">
        <v>78</v>
      </c>
      <c r="O281" t="s">
        <v>74</v>
      </c>
      <c r="P281" t="s">
        <v>74</v>
      </c>
      <c r="Q281" t="s">
        <v>74</v>
      </c>
      <c r="R281" t="s">
        <v>74</v>
      </c>
      <c r="S281" t="s">
        <v>74</v>
      </c>
      <c r="T281" t="s">
        <v>74</v>
      </c>
      <c r="U281" t="s">
        <v>10228</v>
      </c>
      <c r="V281" t="s">
        <v>10229</v>
      </c>
      <c r="W281" t="s">
        <v>10230</v>
      </c>
      <c r="X281" t="s">
        <v>10231</v>
      </c>
      <c r="Y281" t="s">
        <v>74</v>
      </c>
      <c r="Z281" t="s">
        <v>74</v>
      </c>
      <c r="AA281" t="s">
        <v>74</v>
      </c>
      <c r="AB281" t="s">
        <v>10232</v>
      </c>
      <c r="AC281" t="s">
        <v>74</v>
      </c>
      <c r="AD281" t="s">
        <v>74</v>
      </c>
      <c r="AE281" t="s">
        <v>74</v>
      </c>
      <c r="AF281" t="s">
        <v>74</v>
      </c>
      <c r="AG281">
        <v>60</v>
      </c>
      <c r="AH281">
        <v>22</v>
      </c>
      <c r="AI281">
        <v>22</v>
      </c>
      <c r="AJ281">
        <v>0</v>
      </c>
      <c r="AK281">
        <v>1</v>
      </c>
      <c r="AL281" t="s">
        <v>74</v>
      </c>
      <c r="AM281" t="s">
        <v>74</v>
      </c>
      <c r="AN281" t="s">
        <v>74</v>
      </c>
      <c r="AO281" t="s">
        <v>9189</v>
      </c>
      <c r="AP281" t="s">
        <v>74</v>
      </c>
      <c r="AQ281" t="s">
        <v>74</v>
      </c>
      <c r="AR281" t="s">
        <v>74</v>
      </c>
      <c r="AS281" t="s">
        <v>74</v>
      </c>
      <c r="AT281" t="s">
        <v>88</v>
      </c>
      <c r="AU281">
        <v>1997</v>
      </c>
      <c r="AV281">
        <v>171</v>
      </c>
      <c r="AW281">
        <v>3</v>
      </c>
      <c r="AX281" t="s">
        <v>74</v>
      </c>
      <c r="AY281" t="s">
        <v>74</v>
      </c>
      <c r="AZ281" t="s">
        <v>74</v>
      </c>
      <c r="BA281" t="s">
        <v>74</v>
      </c>
      <c r="BB281">
        <v>357</v>
      </c>
      <c r="BC281">
        <v>367</v>
      </c>
      <c r="BD281" t="s">
        <v>74</v>
      </c>
      <c r="BE281" t="s">
        <v>74</v>
      </c>
      <c r="BF281" t="s">
        <v>74</v>
      </c>
      <c r="BG281" t="s">
        <v>74</v>
      </c>
      <c r="BH281" t="s">
        <v>74</v>
      </c>
      <c r="BI281" t="s">
        <v>74</v>
      </c>
      <c r="BJ281" t="s">
        <v>4691</v>
      </c>
      <c r="BK281" t="s">
        <v>112</v>
      </c>
      <c r="BL281" t="s">
        <v>4691</v>
      </c>
      <c r="BM281" t="s">
        <v>74</v>
      </c>
      <c r="BN281">
        <v>9180905</v>
      </c>
      <c r="BO281" t="s">
        <v>74</v>
      </c>
      <c r="BP281" t="s">
        <v>74</v>
      </c>
      <c r="BQ281" t="s">
        <v>74</v>
      </c>
      <c r="BR281" t="s">
        <v>93</v>
      </c>
      <c r="BS281" t="s">
        <v>10233</v>
      </c>
      <c r="BT281" t="str">
        <f>HYPERLINK("https%3A%2F%2Fwww.webofscience.com%2Fwos%2Fwoscc%2Ffull-record%2FWOS:A1997XL16600014","View Full Record in Web of Science")</f>
        <v>View Full Record in Web of Science</v>
      </c>
    </row>
    <row r="282" spans="1:72" x14ac:dyDescent="0.15">
      <c r="A282" t="s">
        <v>72</v>
      </c>
      <c r="B282" t="s">
        <v>259</v>
      </c>
      <c r="C282" t="s">
        <v>74</v>
      </c>
      <c r="D282" t="s">
        <v>74</v>
      </c>
      <c r="E282" t="s">
        <v>74</v>
      </c>
      <c r="F282" t="s">
        <v>260</v>
      </c>
      <c r="G282" t="s">
        <v>74</v>
      </c>
      <c r="H282" t="s">
        <v>74</v>
      </c>
      <c r="I282" t="s">
        <v>261</v>
      </c>
      <c r="J282" t="s">
        <v>262</v>
      </c>
      <c r="K282" t="s">
        <v>74</v>
      </c>
      <c r="L282" t="s">
        <v>74</v>
      </c>
      <c r="M282" t="s">
        <v>74</v>
      </c>
      <c r="N282" t="s">
        <v>78</v>
      </c>
      <c r="O282" t="s">
        <v>74</v>
      </c>
      <c r="P282" t="s">
        <v>74</v>
      </c>
      <c r="Q282" t="s">
        <v>74</v>
      </c>
      <c r="R282" t="s">
        <v>74</v>
      </c>
      <c r="S282" t="s">
        <v>74</v>
      </c>
      <c r="T282" t="s">
        <v>263</v>
      </c>
      <c r="U282" t="s">
        <v>264</v>
      </c>
      <c r="V282" t="s">
        <v>265</v>
      </c>
      <c r="W282" t="s">
        <v>266</v>
      </c>
      <c r="X282" t="s">
        <v>267</v>
      </c>
      <c r="Y282" t="s">
        <v>268</v>
      </c>
      <c r="Z282" t="s">
        <v>269</v>
      </c>
      <c r="AA282" t="s">
        <v>74</v>
      </c>
      <c r="AB282" t="s">
        <v>74</v>
      </c>
      <c r="AC282" t="s">
        <v>74</v>
      </c>
      <c r="AD282" t="s">
        <v>74</v>
      </c>
      <c r="AE282" t="s">
        <v>74</v>
      </c>
      <c r="AF282" t="s">
        <v>74</v>
      </c>
      <c r="AG282">
        <v>26</v>
      </c>
      <c r="AH282">
        <v>21</v>
      </c>
      <c r="AI282">
        <v>22</v>
      </c>
      <c r="AJ282">
        <v>2</v>
      </c>
      <c r="AK282">
        <v>8</v>
      </c>
      <c r="AL282" t="s">
        <v>74</v>
      </c>
      <c r="AM282" t="s">
        <v>74</v>
      </c>
      <c r="AN282" t="s">
        <v>74</v>
      </c>
      <c r="AO282" t="s">
        <v>270</v>
      </c>
      <c r="AP282" t="s">
        <v>74</v>
      </c>
      <c r="AQ282" t="s">
        <v>74</v>
      </c>
      <c r="AR282" t="s">
        <v>74</v>
      </c>
      <c r="AS282" t="s">
        <v>74</v>
      </c>
      <c r="AT282" t="s">
        <v>271</v>
      </c>
      <c r="AU282">
        <v>2019</v>
      </c>
      <c r="AV282">
        <v>9</v>
      </c>
      <c r="AW282" t="s">
        <v>74</v>
      </c>
      <c r="AX282" t="s">
        <v>74</v>
      </c>
      <c r="AY282" t="s">
        <v>74</v>
      </c>
      <c r="AZ282" t="s">
        <v>74</v>
      </c>
      <c r="BA282" t="s">
        <v>74</v>
      </c>
      <c r="BB282" t="s">
        <v>74</v>
      </c>
      <c r="BC282" t="s">
        <v>74</v>
      </c>
      <c r="BD282">
        <v>931</v>
      </c>
      <c r="BE282" t="s">
        <v>272</v>
      </c>
      <c r="BF282" t="str">
        <f>HYPERLINK("http://dx.doi.org/10.3389/fonc.2019.00931","http://dx.doi.org/10.3389/fonc.2019.00931")</f>
        <v>http://dx.doi.org/10.3389/fonc.2019.00931</v>
      </c>
      <c r="BG282" t="s">
        <v>74</v>
      </c>
      <c r="BH282" t="s">
        <v>74</v>
      </c>
      <c r="BI282" t="s">
        <v>74</v>
      </c>
      <c r="BJ282" t="s">
        <v>146</v>
      </c>
      <c r="BK282" t="s">
        <v>112</v>
      </c>
      <c r="BL282" t="s">
        <v>146</v>
      </c>
      <c r="BM282" t="s">
        <v>74</v>
      </c>
      <c r="BN282">
        <v>31608233</v>
      </c>
      <c r="BO282" t="s">
        <v>74</v>
      </c>
      <c r="BP282" t="s">
        <v>74</v>
      </c>
      <c r="BQ282" t="s">
        <v>74</v>
      </c>
      <c r="BR282" t="s">
        <v>93</v>
      </c>
      <c r="BS282" t="s">
        <v>273</v>
      </c>
      <c r="BT282" t="str">
        <f>HYPERLINK("https%3A%2F%2Fwww.webofscience.com%2Fwos%2Fwoscc%2Ffull-record%2FWOS:000487658600001","View Full Record in Web of Science")</f>
        <v>View Full Record in Web of Science</v>
      </c>
    </row>
    <row r="283" spans="1:72" x14ac:dyDescent="0.15">
      <c r="A283" t="s">
        <v>72</v>
      </c>
      <c r="B283" t="s">
        <v>1665</v>
      </c>
      <c r="C283" t="s">
        <v>74</v>
      </c>
      <c r="D283" t="s">
        <v>74</v>
      </c>
      <c r="E283" t="s">
        <v>74</v>
      </c>
      <c r="F283" t="s">
        <v>1666</v>
      </c>
      <c r="G283" t="s">
        <v>74</v>
      </c>
      <c r="H283" t="s">
        <v>74</v>
      </c>
      <c r="I283" t="s">
        <v>1667</v>
      </c>
      <c r="J283" t="s">
        <v>1668</v>
      </c>
      <c r="K283" t="s">
        <v>74</v>
      </c>
      <c r="L283" t="s">
        <v>74</v>
      </c>
      <c r="M283" t="s">
        <v>74</v>
      </c>
      <c r="N283" t="s">
        <v>78</v>
      </c>
      <c r="O283" t="s">
        <v>74</v>
      </c>
      <c r="P283" t="s">
        <v>74</v>
      </c>
      <c r="Q283" t="s">
        <v>74</v>
      </c>
      <c r="R283" t="s">
        <v>74</v>
      </c>
      <c r="S283" t="s">
        <v>74</v>
      </c>
      <c r="T283" t="s">
        <v>1669</v>
      </c>
      <c r="U283" t="s">
        <v>1670</v>
      </c>
      <c r="V283" t="s">
        <v>1671</v>
      </c>
      <c r="W283" t="s">
        <v>1672</v>
      </c>
      <c r="X283" t="s">
        <v>1673</v>
      </c>
      <c r="Y283" t="s">
        <v>1674</v>
      </c>
      <c r="Z283" t="s">
        <v>1675</v>
      </c>
      <c r="AA283" t="s">
        <v>1676</v>
      </c>
      <c r="AB283" t="s">
        <v>1677</v>
      </c>
      <c r="AC283" t="s">
        <v>74</v>
      </c>
      <c r="AD283" t="s">
        <v>74</v>
      </c>
      <c r="AE283" t="s">
        <v>74</v>
      </c>
      <c r="AF283" t="s">
        <v>74</v>
      </c>
      <c r="AG283">
        <v>52</v>
      </c>
      <c r="AH283">
        <v>21</v>
      </c>
      <c r="AI283">
        <v>21</v>
      </c>
      <c r="AJ283">
        <v>10</v>
      </c>
      <c r="AK283">
        <v>46</v>
      </c>
      <c r="AL283" t="s">
        <v>74</v>
      </c>
      <c r="AM283" t="s">
        <v>74</v>
      </c>
      <c r="AN283" t="s">
        <v>74</v>
      </c>
      <c r="AO283" t="s">
        <v>74</v>
      </c>
      <c r="AP283" t="s">
        <v>1678</v>
      </c>
      <c r="AQ283" t="s">
        <v>74</v>
      </c>
      <c r="AR283" t="s">
        <v>74</v>
      </c>
      <c r="AS283" t="s">
        <v>74</v>
      </c>
      <c r="AT283" t="s">
        <v>1679</v>
      </c>
      <c r="AU283">
        <v>2021</v>
      </c>
      <c r="AV283">
        <v>19</v>
      </c>
      <c r="AW283">
        <v>1</v>
      </c>
      <c r="AX283" t="s">
        <v>74</v>
      </c>
      <c r="AY283" t="s">
        <v>74</v>
      </c>
      <c r="AZ283" t="s">
        <v>74</v>
      </c>
      <c r="BA283" t="s">
        <v>74</v>
      </c>
      <c r="BB283" t="s">
        <v>74</v>
      </c>
      <c r="BC283" t="s">
        <v>74</v>
      </c>
      <c r="BD283">
        <v>22</v>
      </c>
      <c r="BE283" t="s">
        <v>1680</v>
      </c>
      <c r="BF283" t="str">
        <f>HYPERLINK("http://dx.doi.org/10.1186/s12951-020-00767-3","http://dx.doi.org/10.1186/s12951-020-00767-3")</f>
        <v>http://dx.doi.org/10.1186/s12951-020-00767-3</v>
      </c>
      <c r="BG283" t="s">
        <v>74</v>
      </c>
      <c r="BH283" t="s">
        <v>74</v>
      </c>
      <c r="BI283" t="s">
        <v>74</v>
      </c>
      <c r="BJ283" t="s">
        <v>1681</v>
      </c>
      <c r="BK283" t="s">
        <v>112</v>
      </c>
      <c r="BL283" t="s">
        <v>1682</v>
      </c>
      <c r="BM283" t="s">
        <v>74</v>
      </c>
      <c r="BN283">
        <v>33436002</v>
      </c>
      <c r="BO283" t="s">
        <v>74</v>
      </c>
      <c r="BP283" t="s">
        <v>420</v>
      </c>
      <c r="BQ283" t="s">
        <v>421</v>
      </c>
      <c r="BR283" t="s">
        <v>93</v>
      </c>
      <c r="BS283" t="s">
        <v>1683</v>
      </c>
      <c r="BT283" t="str">
        <f>HYPERLINK("https%3A%2F%2Fwww.webofscience.com%2Fwos%2Fwoscc%2Ffull-record%2FWOS:000607396600001","View Full Record in Web of Science")</f>
        <v>View Full Record in Web of Science</v>
      </c>
    </row>
    <row r="284" spans="1:72" x14ac:dyDescent="0.15">
      <c r="A284" t="s">
        <v>72</v>
      </c>
      <c r="B284" t="s">
        <v>4353</v>
      </c>
      <c r="C284" t="s">
        <v>74</v>
      </c>
      <c r="D284" t="s">
        <v>74</v>
      </c>
      <c r="E284" t="s">
        <v>74</v>
      </c>
      <c r="F284" t="s">
        <v>4354</v>
      </c>
      <c r="G284" t="s">
        <v>74</v>
      </c>
      <c r="H284" t="s">
        <v>74</v>
      </c>
      <c r="I284" t="s">
        <v>4355</v>
      </c>
      <c r="J284" t="s">
        <v>4356</v>
      </c>
      <c r="K284" t="s">
        <v>74</v>
      </c>
      <c r="L284" t="s">
        <v>74</v>
      </c>
      <c r="M284" t="s">
        <v>74</v>
      </c>
      <c r="N284" t="s">
        <v>78</v>
      </c>
      <c r="O284" t="s">
        <v>74</v>
      </c>
      <c r="P284" t="s">
        <v>74</v>
      </c>
      <c r="Q284" t="s">
        <v>74</v>
      </c>
      <c r="R284" t="s">
        <v>74</v>
      </c>
      <c r="S284" t="s">
        <v>74</v>
      </c>
      <c r="T284" t="s">
        <v>4357</v>
      </c>
      <c r="U284" t="s">
        <v>4358</v>
      </c>
      <c r="V284" t="s">
        <v>4359</v>
      </c>
      <c r="W284" t="s">
        <v>4360</v>
      </c>
      <c r="X284" t="s">
        <v>4361</v>
      </c>
      <c r="Y284" t="s">
        <v>4362</v>
      </c>
      <c r="Z284" t="s">
        <v>4363</v>
      </c>
      <c r="AA284" t="s">
        <v>4364</v>
      </c>
      <c r="AB284" t="s">
        <v>4365</v>
      </c>
      <c r="AC284" t="s">
        <v>74</v>
      </c>
      <c r="AD284" t="s">
        <v>74</v>
      </c>
      <c r="AE284" t="s">
        <v>74</v>
      </c>
      <c r="AF284" t="s">
        <v>74</v>
      </c>
      <c r="AG284">
        <v>34</v>
      </c>
      <c r="AH284">
        <v>21</v>
      </c>
      <c r="AI284">
        <v>21</v>
      </c>
      <c r="AJ284">
        <v>1</v>
      </c>
      <c r="AK284">
        <v>4</v>
      </c>
      <c r="AL284" t="s">
        <v>74</v>
      </c>
      <c r="AM284" t="s">
        <v>74</v>
      </c>
      <c r="AN284" t="s">
        <v>74</v>
      </c>
      <c r="AO284" t="s">
        <v>4366</v>
      </c>
      <c r="AP284" t="s">
        <v>74</v>
      </c>
      <c r="AQ284" t="s">
        <v>74</v>
      </c>
      <c r="AR284" t="s">
        <v>74</v>
      </c>
      <c r="AS284" t="s">
        <v>74</v>
      </c>
      <c r="AT284" t="s">
        <v>171</v>
      </c>
      <c r="AU284">
        <v>2016</v>
      </c>
      <c r="AV284">
        <v>5</v>
      </c>
      <c r="AW284">
        <v>12</v>
      </c>
      <c r="AX284" t="s">
        <v>74</v>
      </c>
      <c r="AY284" t="s">
        <v>74</v>
      </c>
      <c r="AZ284" t="s">
        <v>74</v>
      </c>
      <c r="BA284" t="s">
        <v>74</v>
      </c>
      <c r="BB284" t="s">
        <v>74</v>
      </c>
      <c r="BC284" t="s">
        <v>74</v>
      </c>
      <c r="BD284" t="s">
        <v>4367</v>
      </c>
      <c r="BE284" t="s">
        <v>4368</v>
      </c>
      <c r="BF284" t="str">
        <f>HYPERLINK("http://dx.doi.org/10.1161/JAHA.116.004207","http://dx.doi.org/10.1161/JAHA.116.004207")</f>
        <v>http://dx.doi.org/10.1161/JAHA.116.004207</v>
      </c>
      <c r="BG284" t="s">
        <v>74</v>
      </c>
      <c r="BH284" t="s">
        <v>74</v>
      </c>
      <c r="BI284" t="s">
        <v>74</v>
      </c>
      <c r="BJ284" t="s">
        <v>2386</v>
      </c>
      <c r="BK284" t="s">
        <v>112</v>
      </c>
      <c r="BL284" t="s">
        <v>2387</v>
      </c>
      <c r="BM284" t="s">
        <v>74</v>
      </c>
      <c r="BN284">
        <v>27919931</v>
      </c>
      <c r="BO284" t="s">
        <v>74</v>
      </c>
      <c r="BP284" t="s">
        <v>74</v>
      </c>
      <c r="BQ284" t="s">
        <v>74</v>
      </c>
      <c r="BR284" t="s">
        <v>93</v>
      </c>
      <c r="BS284" t="s">
        <v>4369</v>
      </c>
      <c r="BT284" t="str">
        <f>HYPERLINK("https%3A%2F%2Fwww.webofscience.com%2Fwos%2Fwoscc%2Ffull-record%2FWOS:000390787700022","View Full Record in Web of Science")</f>
        <v>View Full Record in Web of Science</v>
      </c>
    </row>
    <row r="285" spans="1:72" x14ac:dyDescent="0.15">
      <c r="A285" t="s">
        <v>312</v>
      </c>
      <c r="B285" t="s">
        <v>5661</v>
      </c>
      <c r="C285" t="s">
        <v>74</v>
      </c>
      <c r="D285" t="s">
        <v>5662</v>
      </c>
      <c r="E285" t="s">
        <v>74</v>
      </c>
      <c r="F285" t="s">
        <v>5663</v>
      </c>
      <c r="G285" t="s">
        <v>74</v>
      </c>
      <c r="H285" t="s">
        <v>74</v>
      </c>
      <c r="I285" t="s">
        <v>5664</v>
      </c>
      <c r="J285" t="s">
        <v>5665</v>
      </c>
      <c r="K285" t="s">
        <v>5666</v>
      </c>
      <c r="L285" t="s">
        <v>74</v>
      </c>
      <c r="M285" t="s">
        <v>74</v>
      </c>
      <c r="N285" t="s">
        <v>752</v>
      </c>
      <c r="O285" t="s">
        <v>5667</v>
      </c>
      <c r="P285" t="s">
        <v>5668</v>
      </c>
      <c r="Q285" t="s">
        <v>5669</v>
      </c>
      <c r="R285" t="s">
        <v>74</v>
      </c>
      <c r="S285" t="s">
        <v>5670</v>
      </c>
      <c r="T285" t="s">
        <v>5671</v>
      </c>
      <c r="U285" t="s">
        <v>5672</v>
      </c>
      <c r="V285" t="s">
        <v>5673</v>
      </c>
      <c r="W285" t="s">
        <v>5674</v>
      </c>
      <c r="X285" t="s">
        <v>5675</v>
      </c>
      <c r="Y285" t="s">
        <v>5676</v>
      </c>
      <c r="Z285" t="s">
        <v>5677</v>
      </c>
      <c r="AA285" t="s">
        <v>74</v>
      </c>
      <c r="AB285" t="s">
        <v>74</v>
      </c>
      <c r="AC285" t="s">
        <v>74</v>
      </c>
      <c r="AD285" t="s">
        <v>74</v>
      </c>
      <c r="AE285" t="s">
        <v>74</v>
      </c>
      <c r="AF285" t="s">
        <v>74</v>
      </c>
      <c r="AG285">
        <v>41</v>
      </c>
      <c r="AH285">
        <v>21</v>
      </c>
      <c r="AI285">
        <v>23</v>
      </c>
      <c r="AJ285">
        <v>0</v>
      </c>
      <c r="AK285">
        <v>6</v>
      </c>
      <c r="AL285" t="s">
        <v>74</v>
      </c>
      <c r="AM285" t="s">
        <v>74</v>
      </c>
      <c r="AN285" t="s">
        <v>74</v>
      </c>
      <c r="AO285" t="s">
        <v>5678</v>
      </c>
      <c r="AP285" t="s">
        <v>74</v>
      </c>
      <c r="AQ285" t="s">
        <v>5679</v>
      </c>
      <c r="AR285" t="s">
        <v>74</v>
      </c>
      <c r="AS285" t="s">
        <v>74</v>
      </c>
      <c r="AT285" t="s">
        <v>74</v>
      </c>
      <c r="AU285">
        <v>2006</v>
      </c>
      <c r="AV285">
        <v>1075</v>
      </c>
      <c r="AW285" t="s">
        <v>74</v>
      </c>
      <c r="AX285" t="s">
        <v>74</v>
      </c>
      <c r="AY285" t="s">
        <v>74</v>
      </c>
      <c r="AZ285" t="s">
        <v>74</v>
      </c>
      <c r="BA285" t="s">
        <v>74</v>
      </c>
      <c r="BB285">
        <v>40</v>
      </c>
      <c r="BC285">
        <v>49</v>
      </c>
      <c r="BD285" t="s">
        <v>74</v>
      </c>
      <c r="BE285" t="s">
        <v>5680</v>
      </c>
      <c r="BF285" t="str">
        <f>HYPERLINK("http://dx.doi.org/10.1196/annals.1368.005","http://dx.doi.org/10.1196/annals.1368.005")</f>
        <v>http://dx.doi.org/10.1196/annals.1368.005</v>
      </c>
      <c r="BG285" t="s">
        <v>74</v>
      </c>
      <c r="BH285" t="s">
        <v>74</v>
      </c>
      <c r="BI285" t="s">
        <v>74</v>
      </c>
      <c r="BJ285" t="s">
        <v>5681</v>
      </c>
      <c r="BK285" t="s">
        <v>5682</v>
      </c>
      <c r="BL285" t="s">
        <v>5683</v>
      </c>
      <c r="BM285" t="s">
        <v>74</v>
      </c>
      <c r="BN285">
        <v>17108190</v>
      </c>
      <c r="BO285" t="s">
        <v>74</v>
      </c>
      <c r="BP285" t="s">
        <v>74</v>
      </c>
      <c r="BQ285" t="s">
        <v>74</v>
      </c>
      <c r="BR285" t="s">
        <v>93</v>
      </c>
      <c r="BS285" t="s">
        <v>5684</v>
      </c>
      <c r="BT285" t="str">
        <f>HYPERLINK("https%3A%2F%2Fwww.webofscience.com%2Fwos%2Fwoscc%2Ffull-record%2FWOS:000241725400005","View Full Record in Web of Science")</f>
        <v>View Full Record in Web of Science</v>
      </c>
    </row>
    <row r="286" spans="1:72" x14ac:dyDescent="0.15">
      <c r="A286" t="s">
        <v>72</v>
      </c>
      <c r="B286" t="s">
        <v>5836</v>
      </c>
      <c r="C286" t="s">
        <v>74</v>
      </c>
      <c r="D286" t="s">
        <v>74</v>
      </c>
      <c r="E286" t="s">
        <v>74</v>
      </c>
      <c r="F286" t="s">
        <v>5837</v>
      </c>
      <c r="G286" t="s">
        <v>74</v>
      </c>
      <c r="H286" t="s">
        <v>74</v>
      </c>
      <c r="I286" t="s">
        <v>5838</v>
      </c>
      <c r="J286" t="s">
        <v>5108</v>
      </c>
      <c r="K286" t="s">
        <v>74</v>
      </c>
      <c r="L286" t="s">
        <v>74</v>
      </c>
      <c r="M286" t="s">
        <v>74</v>
      </c>
      <c r="N286" t="s">
        <v>78</v>
      </c>
      <c r="O286" t="s">
        <v>74</v>
      </c>
      <c r="P286" t="s">
        <v>74</v>
      </c>
      <c r="Q286" t="s">
        <v>74</v>
      </c>
      <c r="R286" t="s">
        <v>74</v>
      </c>
      <c r="S286" t="s">
        <v>74</v>
      </c>
      <c r="T286" t="s">
        <v>5839</v>
      </c>
      <c r="U286" t="s">
        <v>5840</v>
      </c>
      <c r="V286" t="s">
        <v>5841</v>
      </c>
      <c r="W286" t="s">
        <v>5842</v>
      </c>
      <c r="X286" t="s">
        <v>5843</v>
      </c>
      <c r="Y286" t="s">
        <v>5844</v>
      </c>
      <c r="Z286" t="s">
        <v>5845</v>
      </c>
      <c r="AA286" t="s">
        <v>5846</v>
      </c>
      <c r="AB286" t="s">
        <v>5847</v>
      </c>
      <c r="AC286" t="s">
        <v>74</v>
      </c>
      <c r="AD286" t="s">
        <v>74</v>
      </c>
      <c r="AE286" t="s">
        <v>74</v>
      </c>
      <c r="AF286" t="s">
        <v>74</v>
      </c>
      <c r="AG286">
        <v>35</v>
      </c>
      <c r="AH286">
        <v>21</v>
      </c>
      <c r="AI286">
        <v>21</v>
      </c>
      <c r="AJ286">
        <v>1</v>
      </c>
      <c r="AK286">
        <v>38</v>
      </c>
      <c r="AL286" t="s">
        <v>74</v>
      </c>
      <c r="AM286" t="s">
        <v>74</v>
      </c>
      <c r="AN286" t="s">
        <v>74</v>
      </c>
      <c r="AO286" t="s">
        <v>5118</v>
      </c>
      <c r="AP286" t="s">
        <v>5119</v>
      </c>
      <c r="AQ286" t="s">
        <v>74</v>
      </c>
      <c r="AR286" t="s">
        <v>74</v>
      </c>
      <c r="AS286" t="s">
        <v>74</v>
      </c>
      <c r="AT286" t="s">
        <v>5848</v>
      </c>
      <c r="AU286">
        <v>2020</v>
      </c>
      <c r="AV286">
        <v>480</v>
      </c>
      <c r="AW286" t="s">
        <v>74</v>
      </c>
      <c r="AX286" t="s">
        <v>74</v>
      </c>
      <c r="AY286" t="s">
        <v>74</v>
      </c>
      <c r="AZ286" t="s">
        <v>74</v>
      </c>
      <c r="BA286" t="s">
        <v>74</v>
      </c>
      <c r="BB286">
        <v>24</v>
      </c>
      <c r="BC286">
        <v>28</v>
      </c>
      <c r="BD286" t="s">
        <v>74</v>
      </c>
      <c r="BE286" t="s">
        <v>5849</v>
      </c>
      <c r="BF286" t="str">
        <f>HYPERLINK("http://dx.doi.org/10.1016/j.canlet.2020.03.021","http://dx.doi.org/10.1016/j.canlet.2020.03.021")</f>
        <v>http://dx.doi.org/10.1016/j.canlet.2020.03.021</v>
      </c>
      <c r="BG286" t="s">
        <v>74</v>
      </c>
      <c r="BH286" t="s">
        <v>74</v>
      </c>
      <c r="BI286" t="s">
        <v>74</v>
      </c>
      <c r="BJ286" t="s">
        <v>146</v>
      </c>
      <c r="BK286" t="s">
        <v>112</v>
      </c>
      <c r="BL286" t="s">
        <v>146</v>
      </c>
      <c r="BM286" t="s">
        <v>74</v>
      </c>
      <c r="BN286">
        <v>32229189</v>
      </c>
      <c r="BO286" t="s">
        <v>74</v>
      </c>
      <c r="BP286" t="s">
        <v>74</v>
      </c>
      <c r="BQ286" t="s">
        <v>74</v>
      </c>
      <c r="BR286" t="s">
        <v>93</v>
      </c>
      <c r="BS286" t="s">
        <v>5850</v>
      </c>
      <c r="BT286" t="str">
        <f>HYPERLINK("https%3A%2F%2Fwww.webofscience.com%2Fwos%2Fwoscc%2Ffull-record%2FWOS:000525869200004","View Full Record in Web of Science")</f>
        <v>View Full Record in Web of Science</v>
      </c>
    </row>
    <row r="287" spans="1:72" x14ac:dyDescent="0.15">
      <c r="A287" t="s">
        <v>72</v>
      </c>
      <c r="B287" t="s">
        <v>7522</v>
      </c>
      <c r="C287" t="s">
        <v>74</v>
      </c>
      <c r="D287" t="s">
        <v>74</v>
      </c>
      <c r="E287" t="s">
        <v>74</v>
      </c>
      <c r="F287" t="s">
        <v>7523</v>
      </c>
      <c r="G287" t="s">
        <v>74</v>
      </c>
      <c r="H287" t="s">
        <v>74</v>
      </c>
      <c r="I287" t="s">
        <v>7524</v>
      </c>
      <c r="J287" t="s">
        <v>1118</v>
      </c>
      <c r="K287" t="s">
        <v>74</v>
      </c>
      <c r="L287" t="s">
        <v>74</v>
      </c>
      <c r="M287" t="s">
        <v>74</v>
      </c>
      <c r="N287" t="s">
        <v>78</v>
      </c>
      <c r="O287" t="s">
        <v>74</v>
      </c>
      <c r="P287" t="s">
        <v>74</v>
      </c>
      <c r="Q287" t="s">
        <v>74</v>
      </c>
      <c r="R287" t="s">
        <v>74</v>
      </c>
      <c r="S287" t="s">
        <v>74</v>
      </c>
      <c r="T287" t="s">
        <v>7525</v>
      </c>
      <c r="U287" t="s">
        <v>7526</v>
      </c>
      <c r="V287" t="s">
        <v>7527</v>
      </c>
      <c r="W287" t="s">
        <v>7528</v>
      </c>
      <c r="X287" t="s">
        <v>7529</v>
      </c>
      <c r="Y287" t="s">
        <v>7530</v>
      </c>
      <c r="Z287" t="s">
        <v>7531</v>
      </c>
      <c r="AA287" t="s">
        <v>74</v>
      </c>
      <c r="AB287" t="s">
        <v>74</v>
      </c>
      <c r="AC287" t="s">
        <v>74</v>
      </c>
      <c r="AD287" t="s">
        <v>74</v>
      </c>
      <c r="AE287" t="s">
        <v>74</v>
      </c>
      <c r="AF287" t="s">
        <v>74</v>
      </c>
      <c r="AG287">
        <v>64</v>
      </c>
      <c r="AH287">
        <v>21</v>
      </c>
      <c r="AI287">
        <v>24</v>
      </c>
      <c r="AJ287">
        <v>0</v>
      </c>
      <c r="AK287">
        <v>3</v>
      </c>
      <c r="AL287" t="s">
        <v>74</v>
      </c>
      <c r="AM287" t="s">
        <v>74</v>
      </c>
      <c r="AN287" t="s">
        <v>74</v>
      </c>
      <c r="AO287" t="s">
        <v>1128</v>
      </c>
      <c r="AP287" t="s">
        <v>1129</v>
      </c>
      <c r="AQ287" t="s">
        <v>74</v>
      </c>
      <c r="AR287" t="s">
        <v>74</v>
      </c>
      <c r="AS287" t="s">
        <v>74</v>
      </c>
      <c r="AT287" t="s">
        <v>6545</v>
      </c>
      <c r="AU287">
        <v>2018</v>
      </c>
      <c r="AV287">
        <v>218</v>
      </c>
      <c r="AW287" t="s">
        <v>74</v>
      </c>
      <c r="AX287" t="s">
        <v>74</v>
      </c>
      <c r="AY287">
        <v>2</v>
      </c>
      <c r="AZ287" t="s">
        <v>74</v>
      </c>
      <c r="BA287" t="s">
        <v>74</v>
      </c>
      <c r="BB287" t="s">
        <v>7532</v>
      </c>
      <c r="BC287" t="s">
        <v>7533</v>
      </c>
      <c r="BD287" t="s">
        <v>74</v>
      </c>
      <c r="BE287" t="s">
        <v>7534</v>
      </c>
      <c r="BF287" t="str">
        <f>HYPERLINK("http://dx.doi.org/10.1093/infdis/jiy407","http://dx.doi.org/10.1093/infdis/jiy407")</f>
        <v>http://dx.doi.org/10.1093/infdis/jiy407</v>
      </c>
      <c r="BG287" t="s">
        <v>74</v>
      </c>
      <c r="BH287" t="s">
        <v>74</v>
      </c>
      <c r="BI287" t="s">
        <v>74</v>
      </c>
      <c r="BJ287" t="s">
        <v>1132</v>
      </c>
      <c r="BK287" t="s">
        <v>112</v>
      </c>
      <c r="BL287" t="s">
        <v>1132</v>
      </c>
      <c r="BM287" t="s">
        <v>74</v>
      </c>
      <c r="BN287">
        <v>30247599</v>
      </c>
      <c r="BO287" t="s">
        <v>74</v>
      </c>
      <c r="BP287" t="s">
        <v>74</v>
      </c>
      <c r="BQ287" t="s">
        <v>74</v>
      </c>
      <c r="BR287" t="s">
        <v>93</v>
      </c>
      <c r="BS287" t="s">
        <v>7535</v>
      </c>
      <c r="BT287" t="str">
        <f>HYPERLINK("https%3A%2F%2Fwww.webofscience.com%2Fwos%2Fwoscc%2Ffull-record%2FWOS:000448167700011","View Full Record in Web of Science")</f>
        <v>View Full Record in Web of Science</v>
      </c>
    </row>
    <row r="288" spans="1:72" x14ac:dyDescent="0.15">
      <c r="A288" t="s">
        <v>72</v>
      </c>
      <c r="B288" t="s">
        <v>8319</v>
      </c>
      <c r="C288" t="s">
        <v>74</v>
      </c>
      <c r="D288" t="s">
        <v>74</v>
      </c>
      <c r="E288" t="s">
        <v>74</v>
      </c>
      <c r="F288" t="s">
        <v>8320</v>
      </c>
      <c r="G288" t="s">
        <v>74</v>
      </c>
      <c r="H288" t="s">
        <v>74</v>
      </c>
      <c r="I288" t="s">
        <v>8321</v>
      </c>
      <c r="J288" t="s">
        <v>8322</v>
      </c>
      <c r="K288" t="s">
        <v>74</v>
      </c>
      <c r="L288" t="s">
        <v>74</v>
      </c>
      <c r="M288" t="s">
        <v>74</v>
      </c>
      <c r="N288" t="s">
        <v>78</v>
      </c>
      <c r="O288" t="s">
        <v>74</v>
      </c>
      <c r="P288" t="s">
        <v>74</v>
      </c>
      <c r="Q288" t="s">
        <v>74</v>
      </c>
      <c r="R288" t="s">
        <v>74</v>
      </c>
      <c r="S288" t="s">
        <v>74</v>
      </c>
      <c r="T288" t="s">
        <v>8323</v>
      </c>
      <c r="U288" t="s">
        <v>8324</v>
      </c>
      <c r="V288" t="s">
        <v>8325</v>
      </c>
      <c r="W288" t="s">
        <v>8326</v>
      </c>
      <c r="X288" t="s">
        <v>8327</v>
      </c>
      <c r="Y288" t="s">
        <v>8328</v>
      </c>
      <c r="Z288" t="s">
        <v>8329</v>
      </c>
      <c r="AA288" t="s">
        <v>74</v>
      </c>
      <c r="AB288" t="s">
        <v>8330</v>
      </c>
      <c r="AC288" t="s">
        <v>74</v>
      </c>
      <c r="AD288" t="s">
        <v>74</v>
      </c>
      <c r="AE288" t="s">
        <v>74</v>
      </c>
      <c r="AF288" t="s">
        <v>74</v>
      </c>
      <c r="AG288">
        <v>51</v>
      </c>
      <c r="AH288">
        <v>21</v>
      </c>
      <c r="AI288">
        <v>22</v>
      </c>
      <c r="AJ288">
        <v>5</v>
      </c>
      <c r="AK288">
        <v>20</v>
      </c>
      <c r="AL288" t="s">
        <v>74</v>
      </c>
      <c r="AM288" t="s">
        <v>74</v>
      </c>
      <c r="AN288" t="s">
        <v>74</v>
      </c>
      <c r="AO288" t="s">
        <v>8331</v>
      </c>
      <c r="AP288" t="s">
        <v>8332</v>
      </c>
      <c r="AQ288" t="s">
        <v>74</v>
      </c>
      <c r="AR288" t="s">
        <v>74</v>
      </c>
      <c r="AS288" t="s">
        <v>74</v>
      </c>
      <c r="AT288" t="s">
        <v>129</v>
      </c>
      <c r="AU288">
        <v>2020</v>
      </c>
      <c r="AV288">
        <v>26</v>
      </c>
      <c r="AW288">
        <v>5</v>
      </c>
      <c r="AX288" t="s">
        <v>74</v>
      </c>
      <c r="AY288" t="s">
        <v>74</v>
      </c>
      <c r="AZ288" t="s">
        <v>1075</v>
      </c>
      <c r="BA288" t="s">
        <v>74</v>
      </c>
      <c r="BB288">
        <v>599</v>
      </c>
      <c r="BC288">
        <v>604</v>
      </c>
      <c r="BD288">
        <v>1352458519879303</v>
      </c>
      <c r="BE288" t="s">
        <v>8333</v>
      </c>
      <c r="BF288" t="str">
        <f>HYPERLINK("http://dx.doi.org/10.1177/1352458519879303","http://dx.doi.org/10.1177/1352458519879303")</f>
        <v>http://dx.doi.org/10.1177/1352458519879303</v>
      </c>
      <c r="BG288" t="s">
        <v>74</v>
      </c>
      <c r="BH288" t="s">
        <v>7915</v>
      </c>
      <c r="BI288" t="s">
        <v>74</v>
      </c>
      <c r="BJ288" t="s">
        <v>2406</v>
      </c>
      <c r="BK288" t="s">
        <v>112</v>
      </c>
      <c r="BL288" t="s">
        <v>2407</v>
      </c>
      <c r="BM288" t="s">
        <v>74</v>
      </c>
      <c r="BN288">
        <v>31965891</v>
      </c>
      <c r="BO288" t="s">
        <v>74</v>
      </c>
      <c r="BP288" t="s">
        <v>74</v>
      </c>
      <c r="BQ288" t="s">
        <v>74</v>
      </c>
      <c r="BR288" t="s">
        <v>93</v>
      </c>
      <c r="BS288" t="s">
        <v>8334</v>
      </c>
      <c r="BT288" t="str">
        <f>HYPERLINK("https%3A%2F%2Fwww.webofscience.com%2Fwos%2Fwoscc%2Ffull-record%2FWOS:000509049900001","View Full Record in Web of Science")</f>
        <v>View Full Record in Web of Science</v>
      </c>
    </row>
    <row r="289" spans="1:72" x14ac:dyDescent="0.15">
      <c r="A289" t="s">
        <v>72</v>
      </c>
      <c r="B289" t="s">
        <v>9857</v>
      </c>
      <c r="C289" t="s">
        <v>74</v>
      </c>
      <c r="D289" t="s">
        <v>74</v>
      </c>
      <c r="E289" t="s">
        <v>74</v>
      </c>
      <c r="F289" t="s">
        <v>9858</v>
      </c>
      <c r="G289" t="s">
        <v>74</v>
      </c>
      <c r="H289" t="s">
        <v>74</v>
      </c>
      <c r="I289" t="s">
        <v>9859</v>
      </c>
      <c r="J289" t="s">
        <v>388</v>
      </c>
      <c r="K289" t="s">
        <v>74</v>
      </c>
      <c r="L289" t="s">
        <v>74</v>
      </c>
      <c r="M289" t="s">
        <v>74</v>
      </c>
      <c r="N289" t="s">
        <v>78</v>
      </c>
      <c r="O289" t="s">
        <v>74</v>
      </c>
      <c r="P289" t="s">
        <v>74</v>
      </c>
      <c r="Q289" t="s">
        <v>74</v>
      </c>
      <c r="R289" t="s">
        <v>74</v>
      </c>
      <c r="S289" t="s">
        <v>74</v>
      </c>
      <c r="T289" t="s">
        <v>74</v>
      </c>
      <c r="U289" t="s">
        <v>9860</v>
      </c>
      <c r="V289" t="s">
        <v>9861</v>
      </c>
      <c r="W289" t="s">
        <v>9862</v>
      </c>
      <c r="X289" t="s">
        <v>9863</v>
      </c>
      <c r="Y289" t="s">
        <v>9864</v>
      </c>
      <c r="Z289" t="s">
        <v>9865</v>
      </c>
      <c r="AA289" t="s">
        <v>9866</v>
      </c>
      <c r="AB289" t="s">
        <v>9867</v>
      </c>
      <c r="AC289" t="s">
        <v>74</v>
      </c>
      <c r="AD289" t="s">
        <v>74</v>
      </c>
      <c r="AE289" t="s">
        <v>74</v>
      </c>
      <c r="AF289" t="s">
        <v>74</v>
      </c>
      <c r="AG289">
        <v>61</v>
      </c>
      <c r="AH289">
        <v>21</v>
      </c>
      <c r="AI289">
        <v>22</v>
      </c>
      <c r="AJ289">
        <v>0</v>
      </c>
      <c r="AK289">
        <v>7</v>
      </c>
      <c r="AL289" t="s">
        <v>74</v>
      </c>
      <c r="AM289" t="s">
        <v>74</v>
      </c>
      <c r="AN289" t="s">
        <v>74</v>
      </c>
      <c r="AO289" t="s">
        <v>74</v>
      </c>
      <c r="AP289" t="s">
        <v>398</v>
      </c>
      <c r="AQ289" t="s">
        <v>74</v>
      </c>
      <c r="AR289" t="s">
        <v>74</v>
      </c>
      <c r="AS289" t="s">
        <v>74</v>
      </c>
      <c r="AT289" t="s">
        <v>9868</v>
      </c>
      <c r="AU289">
        <v>2009</v>
      </c>
      <c r="AV289">
        <v>6</v>
      </c>
      <c r="AW289" t="s">
        <v>74</v>
      </c>
      <c r="AX289" t="s">
        <v>74</v>
      </c>
      <c r="AY289" t="s">
        <v>74</v>
      </c>
      <c r="AZ289" t="s">
        <v>74</v>
      </c>
      <c r="BA289" t="s">
        <v>74</v>
      </c>
      <c r="BB289" t="s">
        <v>74</v>
      </c>
      <c r="BC289" t="s">
        <v>74</v>
      </c>
      <c r="BD289">
        <v>168</v>
      </c>
      <c r="BE289" t="s">
        <v>9869</v>
      </c>
      <c r="BF289" t="str">
        <f>HYPERLINK("http://dx.doi.org/10.1186/1743-422X-6-168","http://dx.doi.org/10.1186/1743-422X-6-168")</f>
        <v>http://dx.doi.org/10.1186/1743-422X-6-168</v>
      </c>
      <c r="BG289" t="s">
        <v>74</v>
      </c>
      <c r="BH289" t="s">
        <v>74</v>
      </c>
      <c r="BI289" t="s">
        <v>74</v>
      </c>
      <c r="BJ289" t="s">
        <v>401</v>
      </c>
      <c r="BK289" t="s">
        <v>112</v>
      </c>
      <c r="BL289" t="s">
        <v>401</v>
      </c>
      <c r="BM289" t="s">
        <v>74</v>
      </c>
      <c r="BN289">
        <v>19835589</v>
      </c>
      <c r="BO289" t="s">
        <v>74</v>
      </c>
      <c r="BP289" t="s">
        <v>74</v>
      </c>
      <c r="BQ289" t="s">
        <v>74</v>
      </c>
      <c r="BR289" t="s">
        <v>93</v>
      </c>
      <c r="BS289" t="s">
        <v>9870</v>
      </c>
      <c r="BT289" t="str">
        <f>HYPERLINK("https%3A%2F%2Fwww.webofscience.com%2Fwos%2Fwoscc%2Ffull-record%2FWOS:000271679000002","View Full Record in Web of Science")</f>
        <v>View Full Record in Web of Science</v>
      </c>
    </row>
    <row r="290" spans="1:72" x14ac:dyDescent="0.15">
      <c r="A290" t="s">
        <v>72</v>
      </c>
      <c r="B290" t="s">
        <v>1199</v>
      </c>
      <c r="C290" t="s">
        <v>74</v>
      </c>
      <c r="D290" t="s">
        <v>74</v>
      </c>
      <c r="E290" t="s">
        <v>74</v>
      </c>
      <c r="F290" t="s">
        <v>1200</v>
      </c>
      <c r="G290" t="s">
        <v>74</v>
      </c>
      <c r="H290" t="s">
        <v>74</v>
      </c>
      <c r="I290" t="s">
        <v>1201</v>
      </c>
      <c r="J290" t="s">
        <v>1202</v>
      </c>
      <c r="K290" t="s">
        <v>74</v>
      </c>
      <c r="L290" t="s">
        <v>74</v>
      </c>
      <c r="M290" t="s">
        <v>74</v>
      </c>
      <c r="N290" t="s">
        <v>78</v>
      </c>
      <c r="O290" t="s">
        <v>74</v>
      </c>
      <c r="P290" t="s">
        <v>74</v>
      </c>
      <c r="Q290" t="s">
        <v>74</v>
      </c>
      <c r="R290" t="s">
        <v>74</v>
      </c>
      <c r="S290" t="s">
        <v>74</v>
      </c>
      <c r="T290" t="s">
        <v>1203</v>
      </c>
      <c r="U290" t="s">
        <v>1204</v>
      </c>
      <c r="V290" t="s">
        <v>1205</v>
      </c>
      <c r="W290" t="s">
        <v>1206</v>
      </c>
      <c r="X290" t="s">
        <v>122</v>
      </c>
      <c r="Y290" t="s">
        <v>1207</v>
      </c>
      <c r="Z290" t="s">
        <v>1208</v>
      </c>
      <c r="AA290" t="s">
        <v>1209</v>
      </c>
      <c r="AB290" t="s">
        <v>1210</v>
      </c>
      <c r="AC290" t="s">
        <v>74</v>
      </c>
      <c r="AD290" t="s">
        <v>74</v>
      </c>
      <c r="AE290" t="s">
        <v>74</v>
      </c>
      <c r="AF290" t="s">
        <v>74</v>
      </c>
      <c r="AG290">
        <v>54</v>
      </c>
      <c r="AH290">
        <v>20</v>
      </c>
      <c r="AI290">
        <v>21</v>
      </c>
      <c r="AJ290">
        <v>0</v>
      </c>
      <c r="AK290">
        <v>8</v>
      </c>
      <c r="AL290" t="s">
        <v>74</v>
      </c>
      <c r="AM290" t="s">
        <v>74</v>
      </c>
      <c r="AN290" t="s">
        <v>74</v>
      </c>
      <c r="AO290" t="s">
        <v>1211</v>
      </c>
      <c r="AP290" t="s">
        <v>1212</v>
      </c>
      <c r="AQ290" t="s">
        <v>74</v>
      </c>
      <c r="AR290" t="s">
        <v>74</v>
      </c>
      <c r="AS290" t="s">
        <v>74</v>
      </c>
      <c r="AT290" t="s">
        <v>818</v>
      </c>
      <c r="AU290">
        <v>2019</v>
      </c>
      <c r="AV290">
        <v>495</v>
      </c>
      <c r="AW290" t="s">
        <v>74</v>
      </c>
      <c r="AX290" t="s">
        <v>74</v>
      </c>
      <c r="AY290" t="s">
        <v>74</v>
      </c>
      <c r="AZ290" t="s">
        <v>74</v>
      </c>
      <c r="BA290" t="s">
        <v>74</v>
      </c>
      <c r="BB290">
        <v>529</v>
      </c>
      <c r="BC290">
        <v>537</v>
      </c>
      <c r="BD290" t="s">
        <v>74</v>
      </c>
      <c r="BE290" t="s">
        <v>1213</v>
      </c>
      <c r="BF290" t="str">
        <f>HYPERLINK("http://dx.doi.org/10.1016/j.cca.2019.05.028","http://dx.doi.org/10.1016/j.cca.2019.05.028")</f>
        <v>http://dx.doi.org/10.1016/j.cca.2019.05.028</v>
      </c>
      <c r="BG290" t="s">
        <v>74</v>
      </c>
      <c r="BH290" t="s">
        <v>74</v>
      </c>
      <c r="BI290" t="s">
        <v>74</v>
      </c>
      <c r="BJ290" t="s">
        <v>1214</v>
      </c>
      <c r="BK290" t="s">
        <v>112</v>
      </c>
      <c r="BL290" t="s">
        <v>1214</v>
      </c>
      <c r="BM290" t="s">
        <v>74</v>
      </c>
      <c r="BN290">
        <v>31153869</v>
      </c>
      <c r="BO290" t="s">
        <v>74</v>
      </c>
      <c r="BP290" t="s">
        <v>74</v>
      </c>
      <c r="BQ290" t="s">
        <v>74</v>
      </c>
      <c r="BR290" t="s">
        <v>93</v>
      </c>
      <c r="BS290" t="s">
        <v>1215</v>
      </c>
      <c r="BT290" t="str">
        <f>HYPERLINK("https%3A%2F%2Fwww.webofscience.com%2Fwos%2Fwoscc%2Ffull-record%2FWOS:000476964200079","View Full Record in Web of Science")</f>
        <v>View Full Record in Web of Science</v>
      </c>
    </row>
    <row r="291" spans="1:72" x14ac:dyDescent="0.15">
      <c r="A291" t="s">
        <v>72</v>
      </c>
      <c r="B291" t="s">
        <v>2027</v>
      </c>
      <c r="C291" t="s">
        <v>74</v>
      </c>
      <c r="D291" t="s">
        <v>74</v>
      </c>
      <c r="E291" t="s">
        <v>74</v>
      </c>
      <c r="F291" t="s">
        <v>2028</v>
      </c>
      <c r="G291" t="s">
        <v>74</v>
      </c>
      <c r="H291" t="s">
        <v>74</v>
      </c>
      <c r="I291" t="s">
        <v>2029</v>
      </c>
      <c r="J291" t="s">
        <v>2030</v>
      </c>
      <c r="K291" t="s">
        <v>74</v>
      </c>
      <c r="L291" t="s">
        <v>74</v>
      </c>
      <c r="M291" t="s">
        <v>74</v>
      </c>
      <c r="N291" t="s">
        <v>78</v>
      </c>
      <c r="O291" t="s">
        <v>74</v>
      </c>
      <c r="P291" t="s">
        <v>74</v>
      </c>
      <c r="Q291" t="s">
        <v>74</v>
      </c>
      <c r="R291" t="s">
        <v>74</v>
      </c>
      <c r="S291" t="s">
        <v>74</v>
      </c>
      <c r="T291" t="s">
        <v>2031</v>
      </c>
      <c r="U291" t="s">
        <v>2032</v>
      </c>
      <c r="V291" t="s">
        <v>2033</v>
      </c>
      <c r="W291" t="s">
        <v>2034</v>
      </c>
      <c r="X291" t="s">
        <v>2035</v>
      </c>
      <c r="Y291" t="s">
        <v>2036</v>
      </c>
      <c r="Z291" t="s">
        <v>395</v>
      </c>
      <c r="AA291" t="s">
        <v>2037</v>
      </c>
      <c r="AB291" t="s">
        <v>2038</v>
      </c>
      <c r="AC291" t="s">
        <v>74</v>
      </c>
      <c r="AD291" t="s">
        <v>74</v>
      </c>
      <c r="AE291" t="s">
        <v>74</v>
      </c>
      <c r="AF291" t="s">
        <v>74</v>
      </c>
      <c r="AG291">
        <v>24</v>
      </c>
      <c r="AH291">
        <v>20</v>
      </c>
      <c r="AI291">
        <v>20</v>
      </c>
      <c r="AJ291">
        <v>0</v>
      </c>
      <c r="AK291">
        <v>6</v>
      </c>
      <c r="AL291" t="s">
        <v>74</v>
      </c>
      <c r="AM291" t="s">
        <v>74</v>
      </c>
      <c r="AN291" t="s">
        <v>74</v>
      </c>
      <c r="AO291" t="s">
        <v>2039</v>
      </c>
      <c r="AP291" t="s">
        <v>2040</v>
      </c>
      <c r="AQ291" t="s">
        <v>74</v>
      </c>
      <c r="AR291" t="s">
        <v>74</v>
      </c>
      <c r="AS291" t="s">
        <v>74</v>
      </c>
      <c r="AT291" t="s">
        <v>659</v>
      </c>
      <c r="AU291">
        <v>2015</v>
      </c>
      <c r="AV291">
        <v>70</v>
      </c>
      <c r="AW291" t="s">
        <v>74</v>
      </c>
      <c r="AX291" t="s">
        <v>74</v>
      </c>
      <c r="AY291" t="s">
        <v>74</v>
      </c>
      <c r="AZ291" t="s">
        <v>74</v>
      </c>
      <c r="BA291" t="s">
        <v>74</v>
      </c>
      <c r="BB291">
        <v>1</v>
      </c>
      <c r="BC291">
        <v>6</v>
      </c>
      <c r="BD291" t="s">
        <v>74</v>
      </c>
      <c r="BE291" t="s">
        <v>2041</v>
      </c>
      <c r="BF291" t="str">
        <f>HYPERLINK("http://dx.doi.org/10.1016/j.jcv.2015.06.104","http://dx.doi.org/10.1016/j.jcv.2015.06.104")</f>
        <v>http://dx.doi.org/10.1016/j.jcv.2015.06.104</v>
      </c>
      <c r="BG291" t="s">
        <v>74</v>
      </c>
      <c r="BH291" t="s">
        <v>74</v>
      </c>
      <c r="BI291" t="s">
        <v>74</v>
      </c>
      <c r="BJ291" t="s">
        <v>401</v>
      </c>
      <c r="BK291" t="s">
        <v>112</v>
      </c>
      <c r="BL291" t="s">
        <v>401</v>
      </c>
      <c r="BM291" t="s">
        <v>74</v>
      </c>
      <c r="BN291">
        <v>26305810</v>
      </c>
      <c r="BO291" t="s">
        <v>74</v>
      </c>
      <c r="BP291" t="s">
        <v>74</v>
      </c>
      <c r="BQ291" t="s">
        <v>74</v>
      </c>
      <c r="BR291" t="s">
        <v>93</v>
      </c>
      <c r="BS291" t="s">
        <v>2042</v>
      </c>
      <c r="BT291" t="str">
        <f>HYPERLINK("https%3A%2F%2Fwww.webofscience.com%2Fwos%2Fwoscc%2Ffull-record%2FWOS:000360075100001","View Full Record in Web of Science")</f>
        <v>View Full Record in Web of Science</v>
      </c>
    </row>
    <row r="292" spans="1:72" x14ac:dyDescent="0.15">
      <c r="A292" t="s">
        <v>72</v>
      </c>
      <c r="B292" t="s">
        <v>2296</v>
      </c>
      <c r="C292" t="s">
        <v>74</v>
      </c>
      <c r="D292" t="s">
        <v>74</v>
      </c>
      <c r="E292" t="s">
        <v>74</v>
      </c>
      <c r="F292" t="s">
        <v>2297</v>
      </c>
      <c r="G292" t="s">
        <v>74</v>
      </c>
      <c r="H292" t="s">
        <v>74</v>
      </c>
      <c r="I292" t="s">
        <v>2298</v>
      </c>
      <c r="J292" t="s">
        <v>1346</v>
      </c>
      <c r="K292" t="s">
        <v>74</v>
      </c>
      <c r="L292" t="s">
        <v>74</v>
      </c>
      <c r="M292" t="s">
        <v>74</v>
      </c>
      <c r="N292" t="s">
        <v>78</v>
      </c>
      <c r="O292" t="s">
        <v>74</v>
      </c>
      <c r="P292" t="s">
        <v>74</v>
      </c>
      <c r="Q292" t="s">
        <v>74</v>
      </c>
      <c r="R292" t="s">
        <v>74</v>
      </c>
      <c r="S292" t="s">
        <v>74</v>
      </c>
      <c r="T292" t="s">
        <v>2299</v>
      </c>
      <c r="U292" t="s">
        <v>2300</v>
      </c>
      <c r="V292" t="s">
        <v>2301</v>
      </c>
      <c r="W292" t="s">
        <v>2302</v>
      </c>
      <c r="X292" t="s">
        <v>2303</v>
      </c>
      <c r="Y292" t="s">
        <v>2304</v>
      </c>
      <c r="Z292" t="s">
        <v>2305</v>
      </c>
      <c r="AA292" t="s">
        <v>2306</v>
      </c>
      <c r="AB292" t="s">
        <v>2307</v>
      </c>
      <c r="AC292" t="s">
        <v>74</v>
      </c>
      <c r="AD292" t="s">
        <v>74</v>
      </c>
      <c r="AE292" t="s">
        <v>74</v>
      </c>
      <c r="AF292" t="s">
        <v>74</v>
      </c>
      <c r="AG292">
        <v>13</v>
      </c>
      <c r="AH292">
        <v>20</v>
      </c>
      <c r="AI292">
        <v>21</v>
      </c>
      <c r="AJ292">
        <v>1</v>
      </c>
      <c r="AK292">
        <v>4</v>
      </c>
      <c r="AL292" t="s">
        <v>74</v>
      </c>
      <c r="AM292" t="s">
        <v>74</v>
      </c>
      <c r="AN292" t="s">
        <v>74</v>
      </c>
      <c r="AO292" t="s">
        <v>1356</v>
      </c>
      <c r="AP292" t="s">
        <v>1357</v>
      </c>
      <c r="AQ292" t="s">
        <v>74</v>
      </c>
      <c r="AR292" t="s">
        <v>74</v>
      </c>
      <c r="AS292" t="s">
        <v>74</v>
      </c>
      <c r="AT292" t="s">
        <v>1111</v>
      </c>
      <c r="AU292">
        <v>2018</v>
      </c>
      <c r="AV292">
        <v>64</v>
      </c>
      <c r="AW292">
        <v>5</v>
      </c>
      <c r="AX292" t="s">
        <v>74</v>
      </c>
      <c r="AY292" t="s">
        <v>74</v>
      </c>
      <c r="AZ292" t="s">
        <v>74</v>
      </c>
      <c r="BA292" t="s">
        <v>74</v>
      </c>
      <c r="BB292">
        <v>225</v>
      </c>
      <c r="BC292">
        <v>230</v>
      </c>
      <c r="BD292" t="s">
        <v>74</v>
      </c>
      <c r="BE292" t="s">
        <v>2308</v>
      </c>
      <c r="BF292" t="str">
        <f>HYPERLINK("http://dx.doi.org/10.2144/btn-2018-0003","http://dx.doi.org/10.2144/btn-2018-0003")</f>
        <v>http://dx.doi.org/10.2144/btn-2018-0003</v>
      </c>
      <c r="BG292" t="s">
        <v>74</v>
      </c>
      <c r="BH292" t="s">
        <v>74</v>
      </c>
      <c r="BI292" t="s">
        <v>74</v>
      </c>
      <c r="BJ292" t="s">
        <v>469</v>
      </c>
      <c r="BK292" t="s">
        <v>112</v>
      </c>
      <c r="BL292" t="s">
        <v>92</v>
      </c>
      <c r="BM292" t="s">
        <v>74</v>
      </c>
      <c r="BN292">
        <v>29793362</v>
      </c>
      <c r="BO292" t="s">
        <v>74</v>
      </c>
      <c r="BP292" t="s">
        <v>74</v>
      </c>
      <c r="BQ292" t="s">
        <v>74</v>
      </c>
      <c r="BR292" t="s">
        <v>93</v>
      </c>
      <c r="BS292" t="s">
        <v>2309</v>
      </c>
      <c r="BT292" t="str">
        <f>HYPERLINK("https%3A%2F%2Fwww.webofscience.com%2Fwos%2Fwoscc%2Ffull-record%2FWOS:000433310500007","View Full Record in Web of Science")</f>
        <v>View Full Record in Web of Science</v>
      </c>
    </row>
    <row r="293" spans="1:72" x14ac:dyDescent="0.15">
      <c r="A293" t="s">
        <v>72</v>
      </c>
      <c r="B293" t="s">
        <v>6468</v>
      </c>
      <c r="C293" t="s">
        <v>74</v>
      </c>
      <c r="D293" t="s">
        <v>74</v>
      </c>
      <c r="E293" t="s">
        <v>74</v>
      </c>
      <c r="F293" t="s">
        <v>6469</v>
      </c>
      <c r="G293" t="s">
        <v>74</v>
      </c>
      <c r="H293" t="s">
        <v>74</v>
      </c>
      <c r="I293" t="s">
        <v>6470</v>
      </c>
      <c r="J293" t="s">
        <v>1950</v>
      </c>
      <c r="K293" t="s">
        <v>74</v>
      </c>
      <c r="L293" t="s">
        <v>74</v>
      </c>
      <c r="M293" t="s">
        <v>74</v>
      </c>
      <c r="N293" t="s">
        <v>78</v>
      </c>
      <c r="O293" t="s">
        <v>74</v>
      </c>
      <c r="P293" t="s">
        <v>74</v>
      </c>
      <c r="Q293" t="s">
        <v>74</v>
      </c>
      <c r="R293" t="s">
        <v>74</v>
      </c>
      <c r="S293" t="s">
        <v>74</v>
      </c>
      <c r="T293" t="s">
        <v>6471</v>
      </c>
      <c r="U293" t="s">
        <v>6472</v>
      </c>
      <c r="V293" t="s">
        <v>6473</v>
      </c>
      <c r="W293" t="s">
        <v>6474</v>
      </c>
      <c r="X293" t="s">
        <v>6475</v>
      </c>
      <c r="Y293" t="s">
        <v>6476</v>
      </c>
      <c r="Z293" t="s">
        <v>6477</v>
      </c>
      <c r="AA293" t="s">
        <v>74</v>
      </c>
      <c r="AB293" t="s">
        <v>74</v>
      </c>
      <c r="AC293" t="s">
        <v>74</v>
      </c>
      <c r="AD293" t="s">
        <v>74</v>
      </c>
      <c r="AE293" t="s">
        <v>74</v>
      </c>
      <c r="AF293" t="s">
        <v>74</v>
      </c>
      <c r="AG293">
        <v>36</v>
      </c>
      <c r="AH293">
        <v>20</v>
      </c>
      <c r="AI293">
        <v>20</v>
      </c>
      <c r="AJ293">
        <v>3</v>
      </c>
      <c r="AK293">
        <v>6</v>
      </c>
      <c r="AL293" t="s">
        <v>74</v>
      </c>
      <c r="AM293" t="s">
        <v>74</v>
      </c>
      <c r="AN293" t="s">
        <v>74</v>
      </c>
      <c r="AO293" t="s">
        <v>74</v>
      </c>
      <c r="AP293" t="s">
        <v>1960</v>
      </c>
      <c r="AQ293" t="s">
        <v>74</v>
      </c>
      <c r="AR293" t="s">
        <v>74</v>
      </c>
      <c r="AS293" t="s">
        <v>74</v>
      </c>
      <c r="AT293" t="s">
        <v>6478</v>
      </c>
      <c r="AU293">
        <v>2021</v>
      </c>
      <c r="AV293">
        <v>40</v>
      </c>
      <c r="AW293">
        <v>1</v>
      </c>
      <c r="AX293" t="s">
        <v>74</v>
      </c>
      <c r="AY293" t="s">
        <v>74</v>
      </c>
      <c r="AZ293" t="s">
        <v>74</v>
      </c>
      <c r="BA293" t="s">
        <v>74</v>
      </c>
      <c r="BB293" t="s">
        <v>74</v>
      </c>
      <c r="BC293" t="s">
        <v>74</v>
      </c>
      <c r="BD293">
        <v>38</v>
      </c>
      <c r="BE293" t="s">
        <v>6479</v>
      </c>
      <c r="BF293" t="str">
        <f>HYPERLINK("http://dx.doi.org/10.1186/s13046-021-01834-9","http://dx.doi.org/10.1186/s13046-021-01834-9")</f>
        <v>http://dx.doi.org/10.1186/s13046-021-01834-9</v>
      </c>
      <c r="BG293" t="s">
        <v>74</v>
      </c>
      <c r="BH293" t="s">
        <v>74</v>
      </c>
      <c r="BI293" t="s">
        <v>74</v>
      </c>
      <c r="BJ293" t="s">
        <v>146</v>
      </c>
      <c r="BK293" t="s">
        <v>112</v>
      </c>
      <c r="BL293" t="s">
        <v>146</v>
      </c>
      <c r="BM293" t="s">
        <v>74</v>
      </c>
      <c r="BN293">
        <v>33485367</v>
      </c>
      <c r="BO293" t="s">
        <v>74</v>
      </c>
      <c r="BP293" t="s">
        <v>74</v>
      </c>
      <c r="BQ293" t="s">
        <v>74</v>
      </c>
      <c r="BR293" t="s">
        <v>93</v>
      </c>
      <c r="BS293" t="s">
        <v>6480</v>
      </c>
      <c r="BT293" t="str">
        <f>HYPERLINK("https%3A%2F%2Fwww.webofscience.com%2Fwos%2Fwoscc%2Ffull-record%2FWOS:000612959100003","View Full Record in Web of Science")</f>
        <v>View Full Record in Web of Science</v>
      </c>
    </row>
    <row r="294" spans="1:72" x14ac:dyDescent="0.15">
      <c r="A294" t="s">
        <v>72</v>
      </c>
      <c r="B294" t="s">
        <v>6966</v>
      </c>
      <c r="C294" t="s">
        <v>74</v>
      </c>
      <c r="D294" t="s">
        <v>74</v>
      </c>
      <c r="E294" t="s">
        <v>74</v>
      </c>
      <c r="F294" t="s">
        <v>6967</v>
      </c>
      <c r="G294" t="s">
        <v>74</v>
      </c>
      <c r="H294" t="s">
        <v>74</v>
      </c>
      <c r="I294" t="s">
        <v>6968</v>
      </c>
      <c r="J294" t="s">
        <v>6969</v>
      </c>
      <c r="K294" t="s">
        <v>74</v>
      </c>
      <c r="L294" t="s">
        <v>74</v>
      </c>
      <c r="M294" t="s">
        <v>74</v>
      </c>
      <c r="N294" t="s">
        <v>78</v>
      </c>
      <c r="O294" t="s">
        <v>74</v>
      </c>
      <c r="P294" t="s">
        <v>74</v>
      </c>
      <c r="Q294" t="s">
        <v>74</v>
      </c>
      <c r="R294" t="s">
        <v>74</v>
      </c>
      <c r="S294" t="s">
        <v>74</v>
      </c>
      <c r="T294" t="s">
        <v>74</v>
      </c>
      <c r="U294" t="s">
        <v>6970</v>
      </c>
      <c r="V294" t="s">
        <v>6971</v>
      </c>
      <c r="W294" t="s">
        <v>6972</v>
      </c>
      <c r="X294" t="s">
        <v>6973</v>
      </c>
      <c r="Y294" t="s">
        <v>6974</v>
      </c>
      <c r="Z294" t="s">
        <v>6975</v>
      </c>
      <c r="AA294" t="s">
        <v>6976</v>
      </c>
      <c r="AB294" t="s">
        <v>6977</v>
      </c>
      <c r="AC294" t="s">
        <v>74</v>
      </c>
      <c r="AD294" t="s">
        <v>74</v>
      </c>
      <c r="AE294" t="s">
        <v>74</v>
      </c>
      <c r="AF294" t="s">
        <v>74</v>
      </c>
      <c r="AG294">
        <v>60</v>
      </c>
      <c r="AH294">
        <v>20</v>
      </c>
      <c r="AI294">
        <v>20</v>
      </c>
      <c r="AJ294">
        <v>0</v>
      </c>
      <c r="AK294">
        <v>4</v>
      </c>
      <c r="AL294" t="s">
        <v>74</v>
      </c>
      <c r="AM294" t="s">
        <v>74</v>
      </c>
      <c r="AN294" t="s">
        <v>74</v>
      </c>
      <c r="AO294" t="s">
        <v>6978</v>
      </c>
      <c r="AP294" t="s">
        <v>6979</v>
      </c>
      <c r="AQ294" t="s">
        <v>74</v>
      </c>
      <c r="AR294" t="s">
        <v>74</v>
      </c>
      <c r="AS294" t="s">
        <v>74</v>
      </c>
      <c r="AT294" t="s">
        <v>74</v>
      </c>
      <c r="AU294">
        <v>2018</v>
      </c>
      <c r="AV294">
        <v>2018</v>
      </c>
      <c r="AW294" t="s">
        <v>74</v>
      </c>
      <c r="AX294" t="s">
        <v>74</v>
      </c>
      <c r="AY294" t="s">
        <v>74</v>
      </c>
      <c r="AZ294" t="s">
        <v>74</v>
      </c>
      <c r="BA294" t="s">
        <v>74</v>
      </c>
      <c r="BB294" t="s">
        <v>74</v>
      </c>
      <c r="BC294" t="s">
        <v>74</v>
      </c>
      <c r="BD294">
        <v>3183794</v>
      </c>
      <c r="BE294" t="s">
        <v>6980</v>
      </c>
      <c r="BF294" t="str">
        <f>HYPERLINK("http://dx.doi.org/10.1155/2018/3183794","http://dx.doi.org/10.1155/2018/3183794")</f>
        <v>http://dx.doi.org/10.1155/2018/3183794</v>
      </c>
      <c r="BG294" t="s">
        <v>74</v>
      </c>
      <c r="BH294" t="s">
        <v>74</v>
      </c>
      <c r="BI294" t="s">
        <v>74</v>
      </c>
      <c r="BJ294" t="s">
        <v>419</v>
      </c>
      <c r="BK294" t="s">
        <v>112</v>
      </c>
      <c r="BL294" t="s">
        <v>419</v>
      </c>
      <c r="BM294" t="s">
        <v>74</v>
      </c>
      <c r="BN294">
        <v>29849879</v>
      </c>
      <c r="BO294" t="s">
        <v>74</v>
      </c>
      <c r="BP294" t="s">
        <v>74</v>
      </c>
      <c r="BQ294" t="s">
        <v>74</v>
      </c>
      <c r="BR294" t="s">
        <v>93</v>
      </c>
      <c r="BS294" t="s">
        <v>6981</v>
      </c>
      <c r="BT294" t="str">
        <f>HYPERLINK("https%3A%2F%2Fwww.webofscience.com%2Fwos%2Fwoscc%2Ffull-record%2FWOS:000430275300001","View Full Record in Web of Science")</f>
        <v>View Full Record in Web of Science</v>
      </c>
    </row>
    <row r="295" spans="1:72" x14ac:dyDescent="0.15">
      <c r="A295" t="s">
        <v>72</v>
      </c>
      <c r="B295" t="s">
        <v>8842</v>
      </c>
      <c r="C295" t="s">
        <v>74</v>
      </c>
      <c r="D295" t="s">
        <v>74</v>
      </c>
      <c r="E295" t="s">
        <v>74</v>
      </c>
      <c r="F295" t="s">
        <v>8843</v>
      </c>
      <c r="G295" t="s">
        <v>74</v>
      </c>
      <c r="H295" t="s">
        <v>74</v>
      </c>
      <c r="I295" t="s">
        <v>8844</v>
      </c>
      <c r="J295" t="s">
        <v>8845</v>
      </c>
      <c r="K295" t="s">
        <v>74</v>
      </c>
      <c r="L295" t="s">
        <v>74</v>
      </c>
      <c r="M295" t="s">
        <v>74</v>
      </c>
      <c r="N295" t="s">
        <v>78</v>
      </c>
      <c r="O295" t="s">
        <v>74</v>
      </c>
      <c r="P295" t="s">
        <v>74</v>
      </c>
      <c r="Q295" t="s">
        <v>74</v>
      </c>
      <c r="R295" t="s">
        <v>74</v>
      </c>
      <c r="S295" t="s">
        <v>74</v>
      </c>
      <c r="T295" t="s">
        <v>8846</v>
      </c>
      <c r="U295" t="s">
        <v>8847</v>
      </c>
      <c r="V295" t="s">
        <v>8848</v>
      </c>
      <c r="W295" t="s">
        <v>8849</v>
      </c>
      <c r="X295" t="s">
        <v>8850</v>
      </c>
      <c r="Y295" t="s">
        <v>8851</v>
      </c>
      <c r="Z295" t="s">
        <v>8852</v>
      </c>
      <c r="AA295" t="s">
        <v>8853</v>
      </c>
      <c r="AB295" t="s">
        <v>8854</v>
      </c>
      <c r="AC295" t="s">
        <v>74</v>
      </c>
      <c r="AD295" t="s">
        <v>74</v>
      </c>
      <c r="AE295" t="s">
        <v>74</v>
      </c>
      <c r="AF295" t="s">
        <v>74</v>
      </c>
      <c r="AG295">
        <v>51</v>
      </c>
      <c r="AH295">
        <v>20</v>
      </c>
      <c r="AI295">
        <v>24</v>
      </c>
      <c r="AJ295">
        <v>0</v>
      </c>
      <c r="AK295">
        <v>19</v>
      </c>
      <c r="AL295" t="s">
        <v>74</v>
      </c>
      <c r="AM295" t="s">
        <v>74</v>
      </c>
      <c r="AN295" t="s">
        <v>74</v>
      </c>
      <c r="AO295" t="s">
        <v>8855</v>
      </c>
      <c r="AP295" t="s">
        <v>8856</v>
      </c>
      <c r="AQ295" t="s">
        <v>74</v>
      </c>
      <c r="AR295" t="s">
        <v>74</v>
      </c>
      <c r="AS295" t="s">
        <v>74</v>
      </c>
      <c r="AT295" t="s">
        <v>437</v>
      </c>
      <c r="AU295">
        <v>2014</v>
      </c>
      <c r="AV295">
        <v>104</v>
      </c>
      <c r="AW295" t="s">
        <v>74</v>
      </c>
      <c r="AX295" t="s">
        <v>74</v>
      </c>
      <c r="AY295" t="s">
        <v>74</v>
      </c>
      <c r="AZ295" t="s">
        <v>1075</v>
      </c>
      <c r="BA295" t="s">
        <v>74</v>
      </c>
      <c r="BB295">
        <v>26</v>
      </c>
      <c r="BC295">
        <v>31</v>
      </c>
      <c r="BD295" t="s">
        <v>74</v>
      </c>
      <c r="BE295" t="s">
        <v>8857</v>
      </c>
      <c r="BF295" t="str">
        <f>HYPERLINK("http://dx.doi.org/10.1016/j.jri.2014.03.007","http://dx.doi.org/10.1016/j.jri.2014.03.007")</f>
        <v>http://dx.doi.org/10.1016/j.jri.2014.03.007</v>
      </c>
      <c r="BG295" t="s">
        <v>74</v>
      </c>
      <c r="BH295" t="s">
        <v>74</v>
      </c>
      <c r="BI295" t="s">
        <v>74</v>
      </c>
      <c r="BJ295" t="s">
        <v>8858</v>
      </c>
      <c r="BK295" t="s">
        <v>112</v>
      </c>
      <c r="BL295" t="s">
        <v>8858</v>
      </c>
      <c r="BM295" t="s">
        <v>74</v>
      </c>
      <c r="BN295">
        <v>24815811</v>
      </c>
      <c r="BO295" t="s">
        <v>74</v>
      </c>
      <c r="BP295" t="s">
        <v>74</v>
      </c>
      <c r="BQ295" t="s">
        <v>74</v>
      </c>
      <c r="BR295" t="s">
        <v>93</v>
      </c>
      <c r="BS295" t="s">
        <v>8859</v>
      </c>
      <c r="BT295" t="str">
        <f>HYPERLINK("https%3A%2F%2Fwww.webofscience.com%2Fwos%2Fwoscc%2Ffull-record%2FWOS:000342879000006","View Full Record in Web of Science")</f>
        <v>View Full Record in Web of Science</v>
      </c>
    </row>
    <row r="296" spans="1:72" x14ac:dyDescent="0.15">
      <c r="A296" t="s">
        <v>72</v>
      </c>
      <c r="B296" t="s">
        <v>11007</v>
      </c>
      <c r="C296" t="s">
        <v>74</v>
      </c>
      <c r="D296" t="s">
        <v>74</v>
      </c>
      <c r="E296" t="s">
        <v>74</v>
      </c>
      <c r="F296" t="s">
        <v>11008</v>
      </c>
      <c r="G296" t="s">
        <v>74</v>
      </c>
      <c r="H296" t="s">
        <v>74</v>
      </c>
      <c r="I296" t="s">
        <v>11009</v>
      </c>
      <c r="J296" t="s">
        <v>11010</v>
      </c>
      <c r="K296" t="s">
        <v>74</v>
      </c>
      <c r="L296" t="s">
        <v>74</v>
      </c>
      <c r="M296" t="s">
        <v>74</v>
      </c>
      <c r="N296" t="s">
        <v>78</v>
      </c>
      <c r="O296" t="s">
        <v>74</v>
      </c>
      <c r="P296" t="s">
        <v>74</v>
      </c>
      <c r="Q296" t="s">
        <v>74</v>
      </c>
      <c r="R296" t="s">
        <v>74</v>
      </c>
      <c r="S296" t="s">
        <v>74</v>
      </c>
      <c r="T296" t="s">
        <v>11011</v>
      </c>
      <c r="U296" t="s">
        <v>11012</v>
      </c>
      <c r="V296" t="s">
        <v>11013</v>
      </c>
      <c r="W296" t="s">
        <v>11014</v>
      </c>
      <c r="X296" t="s">
        <v>11015</v>
      </c>
      <c r="Y296" t="s">
        <v>11016</v>
      </c>
      <c r="Z296" t="s">
        <v>11017</v>
      </c>
      <c r="AA296" t="s">
        <v>74</v>
      </c>
      <c r="AB296" t="s">
        <v>11018</v>
      </c>
      <c r="AC296" t="s">
        <v>74</v>
      </c>
      <c r="AD296" t="s">
        <v>74</v>
      </c>
      <c r="AE296" t="s">
        <v>74</v>
      </c>
      <c r="AF296" t="s">
        <v>74</v>
      </c>
      <c r="AG296">
        <v>470</v>
      </c>
      <c r="AH296">
        <v>20</v>
      </c>
      <c r="AI296">
        <v>20</v>
      </c>
      <c r="AJ296">
        <v>1</v>
      </c>
      <c r="AK296">
        <v>4</v>
      </c>
      <c r="AL296" t="s">
        <v>74</v>
      </c>
      <c r="AM296" t="s">
        <v>74</v>
      </c>
      <c r="AN296" t="s">
        <v>74</v>
      </c>
      <c r="AO296" t="s">
        <v>11019</v>
      </c>
      <c r="AP296" t="s">
        <v>11020</v>
      </c>
      <c r="AQ296" t="s">
        <v>74</v>
      </c>
      <c r="AR296" t="s">
        <v>74</v>
      </c>
      <c r="AS296" t="s">
        <v>74</v>
      </c>
      <c r="AT296" t="s">
        <v>659</v>
      </c>
      <c r="AU296">
        <v>2021</v>
      </c>
      <c r="AV296">
        <v>7</v>
      </c>
      <c r="AW296">
        <v>3</v>
      </c>
      <c r="AX296" t="s">
        <v>74</v>
      </c>
      <c r="AY296" t="s">
        <v>74</v>
      </c>
      <c r="AZ296" t="s">
        <v>74</v>
      </c>
      <c r="BA296" t="s">
        <v>74</v>
      </c>
      <c r="BB296">
        <v>312</v>
      </c>
      <c r="BC296">
        <v>352</v>
      </c>
      <c r="BD296" t="s">
        <v>74</v>
      </c>
      <c r="BE296" t="s">
        <v>11021</v>
      </c>
      <c r="BF296" t="str">
        <f>HYPERLINK("http://dx.doi.org/10.1007/s40883-019-00141-2","http://dx.doi.org/10.1007/s40883-019-00141-2")</f>
        <v>http://dx.doi.org/10.1007/s40883-019-00141-2</v>
      </c>
      <c r="BG296" t="s">
        <v>74</v>
      </c>
      <c r="BH296" t="s">
        <v>74</v>
      </c>
      <c r="BI296" t="s">
        <v>74</v>
      </c>
      <c r="BJ296" t="s">
        <v>4722</v>
      </c>
      <c r="BK296" t="s">
        <v>91</v>
      </c>
      <c r="BL296" t="s">
        <v>4723</v>
      </c>
      <c r="BM296" t="s">
        <v>74</v>
      </c>
      <c r="BN296" t="s">
        <v>74</v>
      </c>
      <c r="BO296" t="s">
        <v>74</v>
      </c>
      <c r="BP296" t="s">
        <v>74</v>
      </c>
      <c r="BQ296" t="s">
        <v>74</v>
      </c>
      <c r="BR296" t="s">
        <v>93</v>
      </c>
      <c r="BS296" t="s">
        <v>11022</v>
      </c>
      <c r="BT296" t="str">
        <f>HYPERLINK("https%3A%2F%2Fwww.webofscience.com%2Fwos%2Fwoscc%2Ffull-record%2FWOS:000698957500006","View Full Record in Web of Science")</f>
        <v>View Full Record in Web of Science</v>
      </c>
    </row>
    <row r="297" spans="1:72" x14ac:dyDescent="0.15">
      <c r="A297" t="s">
        <v>72</v>
      </c>
      <c r="B297" t="s">
        <v>274</v>
      </c>
      <c r="C297" t="s">
        <v>74</v>
      </c>
      <c r="D297" t="s">
        <v>74</v>
      </c>
      <c r="E297" t="s">
        <v>74</v>
      </c>
      <c r="F297" t="s">
        <v>275</v>
      </c>
      <c r="G297" t="s">
        <v>74</v>
      </c>
      <c r="H297" t="s">
        <v>74</v>
      </c>
      <c r="I297" t="s">
        <v>276</v>
      </c>
      <c r="J297" t="s">
        <v>277</v>
      </c>
      <c r="K297" t="s">
        <v>74</v>
      </c>
      <c r="L297" t="s">
        <v>74</v>
      </c>
      <c r="M297" t="s">
        <v>74</v>
      </c>
      <c r="N297" t="s">
        <v>78</v>
      </c>
      <c r="O297" t="s">
        <v>74</v>
      </c>
      <c r="P297" t="s">
        <v>74</v>
      </c>
      <c r="Q297" t="s">
        <v>74</v>
      </c>
      <c r="R297" t="s">
        <v>74</v>
      </c>
      <c r="S297" t="s">
        <v>74</v>
      </c>
      <c r="T297" t="s">
        <v>278</v>
      </c>
      <c r="U297" t="s">
        <v>279</v>
      </c>
      <c r="V297" t="s">
        <v>280</v>
      </c>
      <c r="W297" t="s">
        <v>281</v>
      </c>
      <c r="X297" t="s">
        <v>282</v>
      </c>
      <c r="Y297" t="s">
        <v>283</v>
      </c>
      <c r="Z297" t="s">
        <v>284</v>
      </c>
      <c r="AA297" t="s">
        <v>285</v>
      </c>
      <c r="AB297" t="s">
        <v>286</v>
      </c>
      <c r="AC297" t="s">
        <v>74</v>
      </c>
      <c r="AD297" t="s">
        <v>74</v>
      </c>
      <c r="AE297" t="s">
        <v>74</v>
      </c>
      <c r="AF297" t="s">
        <v>74</v>
      </c>
      <c r="AG297">
        <v>49</v>
      </c>
      <c r="AH297">
        <v>19</v>
      </c>
      <c r="AI297">
        <v>19</v>
      </c>
      <c r="AJ297">
        <v>1</v>
      </c>
      <c r="AK297">
        <v>8</v>
      </c>
      <c r="AL297" t="s">
        <v>74</v>
      </c>
      <c r="AM297" t="s">
        <v>74</v>
      </c>
      <c r="AN297" t="s">
        <v>74</v>
      </c>
      <c r="AO297" t="s">
        <v>287</v>
      </c>
      <c r="AP297" t="s">
        <v>288</v>
      </c>
      <c r="AQ297" t="s">
        <v>74</v>
      </c>
      <c r="AR297" t="s">
        <v>74</v>
      </c>
      <c r="AS297" t="s">
        <v>74</v>
      </c>
      <c r="AT297" t="s">
        <v>108</v>
      </c>
      <c r="AU297">
        <v>2021</v>
      </c>
      <c r="AV297">
        <v>20</v>
      </c>
      <c r="AW297">
        <v>1</v>
      </c>
      <c r="AX297" t="s">
        <v>74</v>
      </c>
      <c r="AY297" t="s">
        <v>74</v>
      </c>
      <c r="AZ297" t="s">
        <v>74</v>
      </c>
      <c r="BA297" t="s">
        <v>74</v>
      </c>
      <c r="BB297" t="s">
        <v>74</v>
      </c>
      <c r="BC297" t="s">
        <v>74</v>
      </c>
      <c r="BD297" t="s">
        <v>289</v>
      </c>
      <c r="BE297" t="s">
        <v>290</v>
      </c>
      <c r="BF297" t="str">
        <f>HYPERLINK("http://dx.doi.org/10.1111/acel.13283","http://dx.doi.org/10.1111/acel.13283")</f>
        <v>http://dx.doi.org/10.1111/acel.13283</v>
      </c>
      <c r="BG297" t="s">
        <v>74</v>
      </c>
      <c r="BH297" t="s">
        <v>291</v>
      </c>
      <c r="BI297" t="s">
        <v>74</v>
      </c>
      <c r="BJ297" t="s">
        <v>292</v>
      </c>
      <c r="BK297" t="s">
        <v>112</v>
      </c>
      <c r="BL297" t="s">
        <v>292</v>
      </c>
      <c r="BM297" t="s">
        <v>74</v>
      </c>
      <c r="BN297">
        <v>33355987</v>
      </c>
      <c r="BO297" t="s">
        <v>74</v>
      </c>
      <c r="BP297" t="s">
        <v>74</v>
      </c>
      <c r="BQ297" t="s">
        <v>74</v>
      </c>
      <c r="BR297" t="s">
        <v>93</v>
      </c>
      <c r="BS297" t="s">
        <v>293</v>
      </c>
      <c r="BT297" t="str">
        <f>HYPERLINK("https%3A%2F%2Fwww.webofscience.com%2Fwos%2Fwoscc%2Ffull-record%2FWOS:000601040400001","View Full Record in Web of Science")</f>
        <v>View Full Record in Web of Science</v>
      </c>
    </row>
    <row r="298" spans="1:72" x14ac:dyDescent="0.15">
      <c r="A298" t="s">
        <v>72</v>
      </c>
      <c r="B298" t="s">
        <v>4159</v>
      </c>
      <c r="C298" t="s">
        <v>74</v>
      </c>
      <c r="D298" t="s">
        <v>74</v>
      </c>
      <c r="E298" t="s">
        <v>74</v>
      </c>
      <c r="F298" t="s">
        <v>4160</v>
      </c>
      <c r="G298" t="s">
        <v>74</v>
      </c>
      <c r="H298" t="s">
        <v>74</v>
      </c>
      <c r="I298" t="s">
        <v>4161</v>
      </c>
      <c r="J298" t="s">
        <v>2154</v>
      </c>
      <c r="K298" t="s">
        <v>74</v>
      </c>
      <c r="L298" t="s">
        <v>74</v>
      </c>
      <c r="M298" t="s">
        <v>74</v>
      </c>
      <c r="N298" t="s">
        <v>78</v>
      </c>
      <c r="O298" t="s">
        <v>74</v>
      </c>
      <c r="P298" t="s">
        <v>74</v>
      </c>
      <c r="Q298" t="s">
        <v>74</v>
      </c>
      <c r="R298" t="s">
        <v>74</v>
      </c>
      <c r="S298" t="s">
        <v>74</v>
      </c>
      <c r="T298" t="s">
        <v>74</v>
      </c>
      <c r="U298" t="s">
        <v>74</v>
      </c>
      <c r="V298" t="s">
        <v>4162</v>
      </c>
      <c r="W298" t="s">
        <v>4163</v>
      </c>
      <c r="X298" t="s">
        <v>4164</v>
      </c>
      <c r="Y298" t="s">
        <v>4165</v>
      </c>
      <c r="Z298" t="s">
        <v>4166</v>
      </c>
      <c r="AA298" t="s">
        <v>4167</v>
      </c>
      <c r="AB298" t="s">
        <v>4168</v>
      </c>
      <c r="AC298" t="s">
        <v>74</v>
      </c>
      <c r="AD298" t="s">
        <v>74</v>
      </c>
      <c r="AE298" t="s">
        <v>74</v>
      </c>
      <c r="AF298" t="s">
        <v>74</v>
      </c>
      <c r="AG298">
        <v>34</v>
      </c>
      <c r="AH298">
        <v>19</v>
      </c>
      <c r="AI298">
        <v>19</v>
      </c>
      <c r="AJ298">
        <v>7</v>
      </c>
      <c r="AK298">
        <v>54</v>
      </c>
      <c r="AL298" t="s">
        <v>74</v>
      </c>
      <c r="AM298" t="s">
        <v>74</v>
      </c>
      <c r="AN298" t="s">
        <v>74</v>
      </c>
      <c r="AO298" t="s">
        <v>2161</v>
      </c>
      <c r="AP298" t="s">
        <v>2162</v>
      </c>
      <c r="AQ298" t="s">
        <v>74</v>
      </c>
      <c r="AR298" t="s">
        <v>74</v>
      </c>
      <c r="AS298" t="s">
        <v>74</v>
      </c>
      <c r="AT298" t="s">
        <v>4169</v>
      </c>
      <c r="AU298">
        <v>2019</v>
      </c>
      <c r="AV298">
        <v>19</v>
      </c>
      <c r="AW298">
        <v>14</v>
      </c>
      <c r="AX298" t="s">
        <v>74</v>
      </c>
      <c r="AY298" t="s">
        <v>74</v>
      </c>
      <c r="AZ298" t="s">
        <v>74</v>
      </c>
      <c r="BA298" t="s">
        <v>74</v>
      </c>
      <c r="BB298">
        <v>2346</v>
      </c>
      <c r="BC298">
        <v>2355</v>
      </c>
      <c r="BD298" t="s">
        <v>74</v>
      </c>
      <c r="BE298" t="s">
        <v>4170</v>
      </c>
      <c r="BF298" t="str">
        <f>HYPERLINK("http://dx.doi.org/10.1039/c8lc01359d","http://dx.doi.org/10.1039/c8lc01359d")</f>
        <v>http://dx.doi.org/10.1039/c8lc01359d</v>
      </c>
      <c r="BG298" t="s">
        <v>74</v>
      </c>
      <c r="BH298" t="s">
        <v>74</v>
      </c>
      <c r="BI298" t="s">
        <v>74</v>
      </c>
      <c r="BJ298" t="s">
        <v>2164</v>
      </c>
      <c r="BK298" t="s">
        <v>112</v>
      </c>
      <c r="BL298" t="s">
        <v>2165</v>
      </c>
      <c r="BM298" t="s">
        <v>74</v>
      </c>
      <c r="BN298">
        <v>31232418</v>
      </c>
      <c r="BO298" t="s">
        <v>74</v>
      </c>
      <c r="BP298" t="s">
        <v>74</v>
      </c>
      <c r="BQ298" t="s">
        <v>74</v>
      </c>
      <c r="BR298" t="s">
        <v>93</v>
      </c>
      <c r="BS298" t="s">
        <v>4171</v>
      </c>
      <c r="BT298" t="str">
        <f>HYPERLINK("https%3A%2F%2Fwww.webofscience.com%2Fwos%2Fwoscc%2Ffull-record%2FWOS:000474900400002","View Full Record in Web of Science")</f>
        <v>View Full Record in Web of Science</v>
      </c>
    </row>
    <row r="299" spans="1:72" x14ac:dyDescent="0.15">
      <c r="A299" t="s">
        <v>72</v>
      </c>
      <c r="B299" t="s">
        <v>4896</v>
      </c>
      <c r="C299" t="s">
        <v>74</v>
      </c>
      <c r="D299" t="s">
        <v>74</v>
      </c>
      <c r="E299" t="s">
        <v>74</v>
      </c>
      <c r="F299" t="s">
        <v>4897</v>
      </c>
      <c r="G299" t="s">
        <v>74</v>
      </c>
      <c r="H299" t="s">
        <v>74</v>
      </c>
      <c r="I299" t="s">
        <v>4898</v>
      </c>
      <c r="J299" t="s">
        <v>4899</v>
      </c>
      <c r="K299" t="s">
        <v>74</v>
      </c>
      <c r="L299" t="s">
        <v>74</v>
      </c>
      <c r="M299" t="s">
        <v>74</v>
      </c>
      <c r="N299" t="s">
        <v>78</v>
      </c>
      <c r="O299" t="s">
        <v>74</v>
      </c>
      <c r="P299" t="s">
        <v>74</v>
      </c>
      <c r="Q299" t="s">
        <v>74</v>
      </c>
      <c r="R299" t="s">
        <v>74</v>
      </c>
      <c r="S299" t="s">
        <v>74</v>
      </c>
      <c r="T299" t="s">
        <v>4900</v>
      </c>
      <c r="U299" t="s">
        <v>4901</v>
      </c>
      <c r="V299" t="s">
        <v>4902</v>
      </c>
      <c r="W299" t="s">
        <v>4903</v>
      </c>
      <c r="X299" t="s">
        <v>4904</v>
      </c>
      <c r="Y299" t="s">
        <v>4905</v>
      </c>
      <c r="Z299" t="s">
        <v>395</v>
      </c>
      <c r="AA299" t="s">
        <v>4906</v>
      </c>
      <c r="AB299" t="s">
        <v>4907</v>
      </c>
      <c r="AC299" t="s">
        <v>74</v>
      </c>
      <c r="AD299" t="s">
        <v>74</v>
      </c>
      <c r="AE299" t="s">
        <v>74</v>
      </c>
      <c r="AF299" t="s">
        <v>74</v>
      </c>
      <c r="AG299">
        <v>20</v>
      </c>
      <c r="AH299">
        <v>19</v>
      </c>
      <c r="AI299">
        <v>20</v>
      </c>
      <c r="AJ299">
        <v>0</v>
      </c>
      <c r="AK299">
        <v>10</v>
      </c>
      <c r="AL299" t="s">
        <v>74</v>
      </c>
      <c r="AM299" t="s">
        <v>74</v>
      </c>
      <c r="AN299" t="s">
        <v>74</v>
      </c>
      <c r="AO299" t="s">
        <v>4908</v>
      </c>
      <c r="AP299" t="s">
        <v>4909</v>
      </c>
      <c r="AQ299" t="s">
        <v>74</v>
      </c>
      <c r="AR299" t="s">
        <v>74</v>
      </c>
      <c r="AS299" t="s">
        <v>74</v>
      </c>
      <c r="AT299" t="s">
        <v>171</v>
      </c>
      <c r="AU299">
        <v>2015</v>
      </c>
      <c r="AV299">
        <v>21</v>
      </c>
      <c r="AW299">
        <v>6</v>
      </c>
      <c r="AX299" t="s">
        <v>74</v>
      </c>
      <c r="AY299" t="s">
        <v>74</v>
      </c>
      <c r="AZ299" t="s">
        <v>1075</v>
      </c>
      <c r="BA299" t="s">
        <v>74</v>
      </c>
      <c r="BB299">
        <v>666</v>
      </c>
      <c r="BC299">
        <v>670</v>
      </c>
      <c r="BD299" t="s">
        <v>74</v>
      </c>
      <c r="BE299" t="s">
        <v>4910</v>
      </c>
      <c r="BF299" t="str">
        <f>HYPERLINK("http://dx.doi.org/10.1007/s13365-015-0325-3","http://dx.doi.org/10.1007/s13365-015-0325-3")</f>
        <v>http://dx.doi.org/10.1007/s13365-015-0325-3</v>
      </c>
      <c r="BG299" t="s">
        <v>74</v>
      </c>
      <c r="BH299" t="s">
        <v>74</v>
      </c>
      <c r="BI299" t="s">
        <v>74</v>
      </c>
      <c r="BJ299" t="s">
        <v>4911</v>
      </c>
      <c r="BK299" t="s">
        <v>112</v>
      </c>
      <c r="BL299" t="s">
        <v>4912</v>
      </c>
      <c r="BM299" t="s">
        <v>74</v>
      </c>
      <c r="BN299">
        <v>25678142</v>
      </c>
      <c r="BO299" t="s">
        <v>74</v>
      </c>
      <c r="BP299" t="s">
        <v>74</v>
      </c>
      <c r="BQ299" t="s">
        <v>74</v>
      </c>
      <c r="BR299" t="s">
        <v>93</v>
      </c>
      <c r="BS299" t="s">
        <v>4913</v>
      </c>
      <c r="BT299" t="str">
        <f>HYPERLINK("https%3A%2F%2Fwww.webofscience.com%2Fwos%2Fwoscc%2Ffull-record%2FWOS:000364021500009","View Full Record in Web of Science")</f>
        <v>View Full Record in Web of Science</v>
      </c>
    </row>
    <row r="300" spans="1:72" x14ac:dyDescent="0.15">
      <c r="A300" t="s">
        <v>72</v>
      </c>
      <c r="B300" t="s">
        <v>6197</v>
      </c>
      <c r="C300" t="s">
        <v>74</v>
      </c>
      <c r="D300" t="s">
        <v>74</v>
      </c>
      <c r="E300" t="s">
        <v>74</v>
      </c>
      <c r="F300" t="s">
        <v>6198</v>
      </c>
      <c r="G300" t="s">
        <v>74</v>
      </c>
      <c r="H300" t="s">
        <v>74</v>
      </c>
      <c r="I300" t="s">
        <v>6199</v>
      </c>
      <c r="J300" t="s">
        <v>6200</v>
      </c>
      <c r="K300" t="s">
        <v>74</v>
      </c>
      <c r="L300" t="s">
        <v>74</v>
      </c>
      <c r="M300" t="s">
        <v>74</v>
      </c>
      <c r="N300" t="s">
        <v>78</v>
      </c>
      <c r="O300" t="s">
        <v>74</v>
      </c>
      <c r="P300" t="s">
        <v>74</v>
      </c>
      <c r="Q300" t="s">
        <v>74</v>
      </c>
      <c r="R300" t="s">
        <v>74</v>
      </c>
      <c r="S300" t="s">
        <v>74</v>
      </c>
      <c r="T300" t="s">
        <v>74</v>
      </c>
      <c r="U300" t="s">
        <v>6201</v>
      </c>
      <c r="V300" t="s">
        <v>6202</v>
      </c>
      <c r="W300" t="s">
        <v>6203</v>
      </c>
      <c r="X300" t="s">
        <v>6204</v>
      </c>
      <c r="Y300" t="s">
        <v>6205</v>
      </c>
      <c r="Z300" t="s">
        <v>6206</v>
      </c>
      <c r="AA300" t="s">
        <v>6207</v>
      </c>
      <c r="AB300" t="s">
        <v>6208</v>
      </c>
      <c r="AC300" t="s">
        <v>74</v>
      </c>
      <c r="AD300" t="s">
        <v>74</v>
      </c>
      <c r="AE300" t="s">
        <v>74</v>
      </c>
      <c r="AF300" t="s">
        <v>74</v>
      </c>
      <c r="AG300">
        <v>61</v>
      </c>
      <c r="AH300">
        <v>19</v>
      </c>
      <c r="AI300">
        <v>20</v>
      </c>
      <c r="AJ300">
        <v>1</v>
      </c>
      <c r="AK300">
        <v>8</v>
      </c>
      <c r="AL300" t="s">
        <v>74</v>
      </c>
      <c r="AM300" t="s">
        <v>74</v>
      </c>
      <c r="AN300" t="s">
        <v>74</v>
      </c>
      <c r="AO300" t="s">
        <v>74</v>
      </c>
      <c r="AP300" t="s">
        <v>6209</v>
      </c>
      <c r="AQ300" t="s">
        <v>74</v>
      </c>
      <c r="AR300" t="s">
        <v>74</v>
      </c>
      <c r="AS300" t="s">
        <v>74</v>
      </c>
      <c r="AT300" t="s">
        <v>6210</v>
      </c>
      <c r="AU300">
        <v>2020</v>
      </c>
      <c r="AV300">
        <v>5</v>
      </c>
      <c r="AW300">
        <v>14</v>
      </c>
      <c r="AX300" t="s">
        <v>74</v>
      </c>
      <c r="AY300" t="s">
        <v>74</v>
      </c>
      <c r="AZ300" t="s">
        <v>74</v>
      </c>
      <c r="BA300" t="s">
        <v>74</v>
      </c>
      <c r="BB300" t="s">
        <v>74</v>
      </c>
      <c r="BC300" t="s">
        <v>74</v>
      </c>
      <c r="BD300" t="s">
        <v>6211</v>
      </c>
      <c r="BE300" t="s">
        <v>6212</v>
      </c>
      <c r="BF300" t="str">
        <f>HYPERLINK("http://dx.doi.org/10.1172/jci.insight.136496","http://dx.doi.org/10.1172/jci.insight.136496")</f>
        <v>http://dx.doi.org/10.1172/jci.insight.136496</v>
      </c>
      <c r="BG300" t="s">
        <v>74</v>
      </c>
      <c r="BH300" t="s">
        <v>74</v>
      </c>
      <c r="BI300" t="s">
        <v>74</v>
      </c>
      <c r="BJ300" t="s">
        <v>506</v>
      </c>
      <c r="BK300" t="s">
        <v>112</v>
      </c>
      <c r="BL300" t="s">
        <v>507</v>
      </c>
      <c r="BM300" t="s">
        <v>74</v>
      </c>
      <c r="BN300">
        <v>32544093</v>
      </c>
      <c r="BO300" t="s">
        <v>74</v>
      </c>
      <c r="BP300" t="s">
        <v>74</v>
      </c>
      <c r="BQ300" t="s">
        <v>74</v>
      </c>
      <c r="BR300" t="s">
        <v>93</v>
      </c>
      <c r="BS300" t="s">
        <v>6213</v>
      </c>
      <c r="BT300" t="str">
        <f>HYPERLINK("https%3A%2F%2Fwww.webofscience.com%2Fwos%2Fwoscc%2Ffull-record%2FWOS:000568843900002","View Full Record in Web of Science")</f>
        <v>View Full Record in Web of Science</v>
      </c>
    </row>
    <row r="301" spans="1:72" x14ac:dyDescent="0.15">
      <c r="A301" t="s">
        <v>72</v>
      </c>
      <c r="B301" t="s">
        <v>10198</v>
      </c>
      <c r="C301" t="s">
        <v>74</v>
      </c>
      <c r="D301" t="s">
        <v>74</v>
      </c>
      <c r="E301" t="s">
        <v>74</v>
      </c>
      <c r="F301" t="s">
        <v>10199</v>
      </c>
      <c r="G301" t="s">
        <v>74</v>
      </c>
      <c r="H301" t="s">
        <v>74</v>
      </c>
      <c r="I301" t="s">
        <v>10200</v>
      </c>
      <c r="J301" t="s">
        <v>10201</v>
      </c>
      <c r="K301" t="s">
        <v>74</v>
      </c>
      <c r="L301" t="s">
        <v>74</v>
      </c>
      <c r="M301" t="s">
        <v>74</v>
      </c>
      <c r="N301" t="s">
        <v>78</v>
      </c>
      <c r="O301" t="s">
        <v>74</v>
      </c>
      <c r="P301" t="s">
        <v>74</v>
      </c>
      <c r="Q301" t="s">
        <v>74</v>
      </c>
      <c r="R301" t="s">
        <v>74</v>
      </c>
      <c r="S301" t="s">
        <v>74</v>
      </c>
      <c r="T301" t="s">
        <v>74</v>
      </c>
      <c r="U301" t="s">
        <v>10202</v>
      </c>
      <c r="V301" t="s">
        <v>10203</v>
      </c>
      <c r="W301" t="s">
        <v>10204</v>
      </c>
      <c r="X301" t="s">
        <v>10205</v>
      </c>
      <c r="Y301" t="s">
        <v>10206</v>
      </c>
      <c r="Z301" t="s">
        <v>10207</v>
      </c>
      <c r="AA301" t="s">
        <v>74</v>
      </c>
      <c r="AB301" t="s">
        <v>74</v>
      </c>
      <c r="AC301" t="s">
        <v>74</v>
      </c>
      <c r="AD301" t="s">
        <v>74</v>
      </c>
      <c r="AE301" t="s">
        <v>74</v>
      </c>
      <c r="AF301" t="s">
        <v>74</v>
      </c>
      <c r="AG301">
        <v>45</v>
      </c>
      <c r="AH301">
        <v>19</v>
      </c>
      <c r="AI301">
        <v>19</v>
      </c>
      <c r="AJ301">
        <v>0</v>
      </c>
      <c r="AK301">
        <v>3</v>
      </c>
      <c r="AL301" t="s">
        <v>74</v>
      </c>
      <c r="AM301" t="s">
        <v>74</v>
      </c>
      <c r="AN301" t="s">
        <v>74</v>
      </c>
      <c r="AO301" t="s">
        <v>10208</v>
      </c>
      <c r="AP301" t="s">
        <v>10209</v>
      </c>
      <c r="AQ301" t="s">
        <v>74</v>
      </c>
      <c r="AR301" t="s">
        <v>74</v>
      </c>
      <c r="AS301" t="s">
        <v>74</v>
      </c>
      <c r="AT301" t="s">
        <v>5314</v>
      </c>
      <c r="AU301">
        <v>2014</v>
      </c>
      <c r="AV301">
        <v>107</v>
      </c>
      <c r="AW301">
        <v>1</v>
      </c>
      <c r="AX301" t="s">
        <v>74</v>
      </c>
      <c r="AY301" t="s">
        <v>74</v>
      </c>
      <c r="AZ301" t="s">
        <v>74</v>
      </c>
      <c r="BA301" t="s">
        <v>74</v>
      </c>
      <c r="BB301">
        <v>26</v>
      </c>
      <c r="BC301">
        <v>33</v>
      </c>
      <c r="BD301" t="s">
        <v>74</v>
      </c>
      <c r="BE301" t="s">
        <v>10210</v>
      </c>
      <c r="BF301" t="str">
        <f>HYPERLINK("http://dx.doi.org/10.1016/j.bpj.2014.04.064","http://dx.doi.org/10.1016/j.bpj.2014.04.064")</f>
        <v>http://dx.doi.org/10.1016/j.bpj.2014.04.064</v>
      </c>
      <c r="BG301" t="s">
        <v>74</v>
      </c>
      <c r="BH301" t="s">
        <v>74</v>
      </c>
      <c r="BI301" t="s">
        <v>74</v>
      </c>
      <c r="BJ301" t="s">
        <v>10211</v>
      </c>
      <c r="BK301" t="s">
        <v>112</v>
      </c>
      <c r="BL301" t="s">
        <v>10211</v>
      </c>
      <c r="BM301" t="s">
        <v>74</v>
      </c>
      <c r="BN301">
        <v>24988338</v>
      </c>
      <c r="BO301" t="s">
        <v>74</v>
      </c>
      <c r="BP301" t="s">
        <v>74</v>
      </c>
      <c r="BQ301" t="s">
        <v>74</v>
      </c>
      <c r="BR301" t="s">
        <v>93</v>
      </c>
      <c r="BS301" t="s">
        <v>10212</v>
      </c>
      <c r="BT301" t="str">
        <f>HYPERLINK("https%3A%2F%2Fwww.webofscience.com%2Fwos%2Fwoscc%2Ffull-record%2FWOS:000338411600007","View Full Record in Web of Science")</f>
        <v>View Full Record in Web of Science</v>
      </c>
    </row>
    <row r="302" spans="1:72" x14ac:dyDescent="0.15">
      <c r="A302" t="s">
        <v>72</v>
      </c>
      <c r="B302" t="s">
        <v>10280</v>
      </c>
      <c r="C302" t="s">
        <v>74</v>
      </c>
      <c r="D302" t="s">
        <v>74</v>
      </c>
      <c r="E302" t="s">
        <v>74</v>
      </c>
      <c r="F302" t="s">
        <v>10281</v>
      </c>
      <c r="G302" t="s">
        <v>74</v>
      </c>
      <c r="H302" t="s">
        <v>74</v>
      </c>
      <c r="I302" t="s">
        <v>10282</v>
      </c>
      <c r="J302" t="s">
        <v>10283</v>
      </c>
      <c r="K302" t="s">
        <v>74</v>
      </c>
      <c r="L302" t="s">
        <v>74</v>
      </c>
      <c r="M302" t="s">
        <v>74</v>
      </c>
      <c r="N302" t="s">
        <v>78</v>
      </c>
      <c r="O302" t="s">
        <v>74</v>
      </c>
      <c r="P302" t="s">
        <v>74</v>
      </c>
      <c r="Q302" t="s">
        <v>74</v>
      </c>
      <c r="R302" t="s">
        <v>74</v>
      </c>
      <c r="S302" t="s">
        <v>74</v>
      </c>
      <c r="T302" t="s">
        <v>10284</v>
      </c>
      <c r="U302" t="s">
        <v>10285</v>
      </c>
      <c r="V302" t="s">
        <v>10286</v>
      </c>
      <c r="W302" t="s">
        <v>10287</v>
      </c>
      <c r="X302" t="s">
        <v>10288</v>
      </c>
      <c r="Y302" t="s">
        <v>10289</v>
      </c>
      <c r="Z302" t="s">
        <v>10290</v>
      </c>
      <c r="AA302" t="s">
        <v>74</v>
      </c>
      <c r="AB302" t="s">
        <v>74</v>
      </c>
      <c r="AC302" t="s">
        <v>74</v>
      </c>
      <c r="AD302" t="s">
        <v>74</v>
      </c>
      <c r="AE302" t="s">
        <v>74</v>
      </c>
      <c r="AF302" t="s">
        <v>74</v>
      </c>
      <c r="AG302">
        <v>58</v>
      </c>
      <c r="AH302">
        <v>19</v>
      </c>
      <c r="AI302">
        <v>19</v>
      </c>
      <c r="AJ302">
        <v>0</v>
      </c>
      <c r="AK302">
        <v>5</v>
      </c>
      <c r="AL302" t="s">
        <v>74</v>
      </c>
      <c r="AM302" t="s">
        <v>74</v>
      </c>
      <c r="AN302" t="s">
        <v>74</v>
      </c>
      <c r="AO302" t="s">
        <v>10291</v>
      </c>
      <c r="AP302" t="s">
        <v>10292</v>
      </c>
      <c r="AQ302" t="s">
        <v>74</v>
      </c>
      <c r="AR302" t="s">
        <v>74</v>
      </c>
      <c r="AS302" t="s">
        <v>74</v>
      </c>
      <c r="AT302" t="s">
        <v>818</v>
      </c>
      <c r="AU302">
        <v>2009</v>
      </c>
      <c r="AV302">
        <v>19</v>
      </c>
      <c r="AW302">
        <v>2</v>
      </c>
      <c r="AX302" t="s">
        <v>74</v>
      </c>
      <c r="AY302" t="s">
        <v>74</v>
      </c>
      <c r="AZ302" t="s">
        <v>74</v>
      </c>
      <c r="BA302" t="s">
        <v>74</v>
      </c>
      <c r="BB302">
        <v>181</v>
      </c>
      <c r="BC302">
        <v>190</v>
      </c>
      <c r="BD302" t="s">
        <v>74</v>
      </c>
      <c r="BE302" t="s">
        <v>10293</v>
      </c>
      <c r="BF302" t="str">
        <f>HYPERLINK("http://dx.doi.org/10.1016/S1472-6483(10)60070-3","http://dx.doi.org/10.1016/S1472-6483(10)60070-3")</f>
        <v>http://dx.doi.org/10.1016/S1472-6483(10)60070-3</v>
      </c>
      <c r="BG302" t="s">
        <v>74</v>
      </c>
      <c r="BH302" t="s">
        <v>74</v>
      </c>
      <c r="BI302" t="s">
        <v>74</v>
      </c>
      <c r="BJ302" t="s">
        <v>3063</v>
      </c>
      <c r="BK302" t="s">
        <v>112</v>
      </c>
      <c r="BL302" t="s">
        <v>3063</v>
      </c>
      <c r="BM302" t="s">
        <v>74</v>
      </c>
      <c r="BN302">
        <v>19712552</v>
      </c>
      <c r="BO302" t="s">
        <v>74</v>
      </c>
      <c r="BP302" t="s">
        <v>74</v>
      </c>
      <c r="BQ302" t="s">
        <v>74</v>
      </c>
      <c r="BR302" t="s">
        <v>93</v>
      </c>
      <c r="BS302" t="s">
        <v>10294</v>
      </c>
      <c r="BT302" t="str">
        <f>HYPERLINK("https%3A%2F%2Fwww.webofscience.com%2Fwos%2Fwoscc%2Ffull-record%2FWOS:000268786600007","View Full Record in Web of Science")</f>
        <v>View Full Record in Web of Science</v>
      </c>
    </row>
    <row r="303" spans="1:72" x14ac:dyDescent="0.15">
      <c r="A303" t="s">
        <v>72</v>
      </c>
      <c r="B303" t="s">
        <v>10895</v>
      </c>
      <c r="C303" t="s">
        <v>74</v>
      </c>
      <c r="D303" t="s">
        <v>74</v>
      </c>
      <c r="E303" t="s">
        <v>74</v>
      </c>
      <c r="F303" t="s">
        <v>10896</v>
      </c>
      <c r="G303" t="s">
        <v>74</v>
      </c>
      <c r="H303" t="s">
        <v>74</v>
      </c>
      <c r="I303" t="s">
        <v>10897</v>
      </c>
      <c r="J303" t="s">
        <v>6854</v>
      </c>
      <c r="K303" t="s">
        <v>74</v>
      </c>
      <c r="L303" t="s">
        <v>74</v>
      </c>
      <c r="M303" t="s">
        <v>74</v>
      </c>
      <c r="N303" t="s">
        <v>78</v>
      </c>
      <c r="O303" t="s">
        <v>74</v>
      </c>
      <c r="P303" t="s">
        <v>74</v>
      </c>
      <c r="Q303" t="s">
        <v>74</v>
      </c>
      <c r="R303" t="s">
        <v>74</v>
      </c>
      <c r="S303" t="s">
        <v>74</v>
      </c>
      <c r="T303" t="s">
        <v>74</v>
      </c>
      <c r="U303" t="s">
        <v>10898</v>
      </c>
      <c r="V303" t="s">
        <v>10899</v>
      </c>
      <c r="W303" t="s">
        <v>10900</v>
      </c>
      <c r="X303" t="s">
        <v>2017</v>
      </c>
      <c r="Y303" t="s">
        <v>10901</v>
      </c>
      <c r="Z303" t="s">
        <v>10902</v>
      </c>
      <c r="AA303" t="s">
        <v>10903</v>
      </c>
      <c r="AB303" t="s">
        <v>2021</v>
      </c>
      <c r="AC303" t="s">
        <v>74</v>
      </c>
      <c r="AD303" t="s">
        <v>74</v>
      </c>
      <c r="AE303" t="s">
        <v>74</v>
      </c>
      <c r="AF303" t="s">
        <v>74</v>
      </c>
      <c r="AG303">
        <v>28</v>
      </c>
      <c r="AH303">
        <v>19</v>
      </c>
      <c r="AI303">
        <v>19</v>
      </c>
      <c r="AJ303">
        <v>6</v>
      </c>
      <c r="AK303">
        <v>83</v>
      </c>
      <c r="AL303" t="s">
        <v>74</v>
      </c>
      <c r="AM303" t="s">
        <v>74</v>
      </c>
      <c r="AN303" t="s">
        <v>74</v>
      </c>
      <c r="AO303" t="s">
        <v>6863</v>
      </c>
      <c r="AP303" t="s">
        <v>6864</v>
      </c>
      <c r="AQ303" t="s">
        <v>74</v>
      </c>
      <c r="AR303" t="s">
        <v>74</v>
      </c>
      <c r="AS303" t="s">
        <v>74</v>
      </c>
      <c r="AT303" t="s">
        <v>7053</v>
      </c>
      <c r="AU303">
        <v>2018</v>
      </c>
      <c r="AV303">
        <v>143</v>
      </c>
      <c r="AW303">
        <v>4</v>
      </c>
      <c r="AX303" t="s">
        <v>74</v>
      </c>
      <c r="AY303" t="s">
        <v>74</v>
      </c>
      <c r="AZ303" t="s">
        <v>74</v>
      </c>
      <c r="BA303" t="s">
        <v>74</v>
      </c>
      <c r="BB303">
        <v>813</v>
      </c>
      <c r="BC303">
        <v>816</v>
      </c>
      <c r="BD303" t="s">
        <v>74</v>
      </c>
      <c r="BE303" t="s">
        <v>10904</v>
      </c>
      <c r="BF303" t="str">
        <f>HYPERLINK("http://dx.doi.org/10.1039/c7an01691c","http://dx.doi.org/10.1039/c7an01691c")</f>
        <v>http://dx.doi.org/10.1039/c7an01691c</v>
      </c>
      <c r="BG303" t="s">
        <v>74</v>
      </c>
      <c r="BH303" t="s">
        <v>74</v>
      </c>
      <c r="BI303" t="s">
        <v>74</v>
      </c>
      <c r="BJ303" t="s">
        <v>1196</v>
      </c>
      <c r="BK303" t="s">
        <v>112</v>
      </c>
      <c r="BL303" t="s">
        <v>1197</v>
      </c>
      <c r="BM303" t="s">
        <v>74</v>
      </c>
      <c r="BN303">
        <v>29362731</v>
      </c>
      <c r="BO303" t="s">
        <v>74</v>
      </c>
      <c r="BP303" t="s">
        <v>74</v>
      </c>
      <c r="BQ303" t="s">
        <v>74</v>
      </c>
      <c r="BR303" t="s">
        <v>93</v>
      </c>
      <c r="BS303" t="s">
        <v>10905</v>
      </c>
      <c r="BT303" t="str">
        <f>HYPERLINK("https%3A%2F%2Fwww.webofscience.com%2Fwos%2Fwoscc%2Ffull-record%2FWOS:000424908000003","View Full Record in Web of Science")</f>
        <v>View Full Record in Web of Science</v>
      </c>
    </row>
    <row r="304" spans="1:72" x14ac:dyDescent="0.15">
      <c r="A304" t="s">
        <v>72</v>
      </c>
      <c r="B304" t="s">
        <v>4815</v>
      </c>
      <c r="C304" t="s">
        <v>74</v>
      </c>
      <c r="D304" t="s">
        <v>74</v>
      </c>
      <c r="E304" t="s">
        <v>74</v>
      </c>
      <c r="F304" t="s">
        <v>4816</v>
      </c>
      <c r="G304" t="s">
        <v>74</v>
      </c>
      <c r="H304" t="s">
        <v>74</v>
      </c>
      <c r="I304" t="s">
        <v>4817</v>
      </c>
      <c r="J304" t="s">
        <v>4818</v>
      </c>
      <c r="K304" t="s">
        <v>74</v>
      </c>
      <c r="L304" t="s">
        <v>74</v>
      </c>
      <c r="M304" t="s">
        <v>74</v>
      </c>
      <c r="N304" t="s">
        <v>78</v>
      </c>
      <c r="O304" t="s">
        <v>74</v>
      </c>
      <c r="P304" t="s">
        <v>74</v>
      </c>
      <c r="Q304" t="s">
        <v>74</v>
      </c>
      <c r="R304" t="s">
        <v>74</v>
      </c>
      <c r="S304" t="s">
        <v>74</v>
      </c>
      <c r="T304" t="s">
        <v>4819</v>
      </c>
      <c r="U304" t="s">
        <v>4820</v>
      </c>
      <c r="V304" t="s">
        <v>4821</v>
      </c>
      <c r="W304" t="s">
        <v>4822</v>
      </c>
      <c r="X304" t="s">
        <v>4823</v>
      </c>
      <c r="Y304" t="s">
        <v>4824</v>
      </c>
      <c r="Z304" t="s">
        <v>4825</v>
      </c>
      <c r="AA304" t="s">
        <v>4826</v>
      </c>
      <c r="AB304" t="s">
        <v>4827</v>
      </c>
      <c r="AC304" t="s">
        <v>74</v>
      </c>
      <c r="AD304" t="s">
        <v>74</v>
      </c>
      <c r="AE304" t="s">
        <v>74</v>
      </c>
      <c r="AF304" t="s">
        <v>74</v>
      </c>
      <c r="AG304">
        <v>66</v>
      </c>
      <c r="AH304">
        <v>18</v>
      </c>
      <c r="AI304">
        <v>19</v>
      </c>
      <c r="AJ304">
        <v>0</v>
      </c>
      <c r="AK304">
        <v>7</v>
      </c>
      <c r="AL304" t="s">
        <v>74</v>
      </c>
      <c r="AM304" t="s">
        <v>74</v>
      </c>
      <c r="AN304" t="s">
        <v>74</v>
      </c>
      <c r="AO304" t="s">
        <v>4828</v>
      </c>
      <c r="AP304" t="s">
        <v>4829</v>
      </c>
      <c r="AQ304" t="s">
        <v>74</v>
      </c>
      <c r="AR304" t="s">
        <v>74</v>
      </c>
      <c r="AS304" t="s">
        <v>74</v>
      </c>
      <c r="AT304" t="s">
        <v>236</v>
      </c>
      <c r="AU304">
        <v>2017</v>
      </c>
      <c r="AV304">
        <v>39</v>
      </c>
      <c r="AW304" t="s">
        <v>74</v>
      </c>
      <c r="AX304" t="s">
        <v>74</v>
      </c>
      <c r="AY304" t="s">
        <v>74</v>
      </c>
      <c r="AZ304" t="s">
        <v>74</v>
      </c>
      <c r="BA304" t="s">
        <v>74</v>
      </c>
      <c r="BB304">
        <v>18</v>
      </c>
      <c r="BC304">
        <v>31</v>
      </c>
      <c r="BD304" t="s">
        <v>74</v>
      </c>
      <c r="BE304" t="s">
        <v>4830</v>
      </c>
      <c r="BF304" t="str">
        <f>HYPERLINK("http://dx.doi.org/10.1016/j.cellsig.2017.07.019","http://dx.doi.org/10.1016/j.cellsig.2017.07.019")</f>
        <v>http://dx.doi.org/10.1016/j.cellsig.2017.07.019</v>
      </c>
      <c r="BG304" t="s">
        <v>74</v>
      </c>
      <c r="BH304" t="s">
        <v>74</v>
      </c>
      <c r="BI304" t="s">
        <v>74</v>
      </c>
      <c r="BJ304" t="s">
        <v>419</v>
      </c>
      <c r="BK304" t="s">
        <v>112</v>
      </c>
      <c r="BL304" t="s">
        <v>419</v>
      </c>
      <c r="BM304" t="s">
        <v>74</v>
      </c>
      <c r="BN304">
        <v>28751279</v>
      </c>
      <c r="BO304" t="s">
        <v>74</v>
      </c>
      <c r="BP304" t="s">
        <v>74</v>
      </c>
      <c r="BQ304" t="s">
        <v>74</v>
      </c>
      <c r="BR304" t="s">
        <v>93</v>
      </c>
      <c r="BS304" t="s">
        <v>4831</v>
      </c>
      <c r="BT304" t="str">
        <f>HYPERLINK("https%3A%2F%2Fwww.webofscience.com%2Fwos%2Fwoscc%2Ffull-record%2FWOS:000412616600003","View Full Record in Web of Science")</f>
        <v>View Full Record in Web of Science</v>
      </c>
    </row>
    <row r="305" spans="1:72" x14ac:dyDescent="0.15">
      <c r="A305" t="s">
        <v>72</v>
      </c>
      <c r="B305" t="s">
        <v>5477</v>
      </c>
      <c r="C305" t="s">
        <v>74</v>
      </c>
      <c r="D305" t="s">
        <v>74</v>
      </c>
      <c r="E305" t="s">
        <v>74</v>
      </c>
      <c r="F305" t="s">
        <v>5478</v>
      </c>
      <c r="G305" t="s">
        <v>74</v>
      </c>
      <c r="H305" t="s">
        <v>74</v>
      </c>
      <c r="I305" t="s">
        <v>5479</v>
      </c>
      <c r="J305" t="s">
        <v>568</v>
      </c>
      <c r="K305" t="s">
        <v>74</v>
      </c>
      <c r="L305" t="s">
        <v>74</v>
      </c>
      <c r="M305" t="s">
        <v>74</v>
      </c>
      <c r="N305" t="s">
        <v>78</v>
      </c>
      <c r="O305" t="s">
        <v>74</v>
      </c>
      <c r="P305" t="s">
        <v>74</v>
      </c>
      <c r="Q305" t="s">
        <v>74</v>
      </c>
      <c r="R305" t="s">
        <v>74</v>
      </c>
      <c r="S305" t="s">
        <v>74</v>
      </c>
      <c r="T305" t="s">
        <v>74</v>
      </c>
      <c r="U305" t="s">
        <v>5480</v>
      </c>
      <c r="V305" t="s">
        <v>5481</v>
      </c>
      <c r="W305" t="s">
        <v>5482</v>
      </c>
      <c r="X305" t="s">
        <v>5483</v>
      </c>
      <c r="Y305" t="s">
        <v>5484</v>
      </c>
      <c r="Z305" t="s">
        <v>5485</v>
      </c>
      <c r="AA305" t="s">
        <v>74</v>
      </c>
      <c r="AB305" t="s">
        <v>74</v>
      </c>
      <c r="AC305" t="s">
        <v>74</v>
      </c>
      <c r="AD305" t="s">
        <v>74</v>
      </c>
      <c r="AE305" t="s">
        <v>74</v>
      </c>
      <c r="AF305" t="s">
        <v>74</v>
      </c>
      <c r="AG305">
        <v>54</v>
      </c>
      <c r="AH305">
        <v>18</v>
      </c>
      <c r="AI305">
        <v>20</v>
      </c>
      <c r="AJ305">
        <v>2</v>
      </c>
      <c r="AK305">
        <v>6</v>
      </c>
      <c r="AL305" t="s">
        <v>74</v>
      </c>
      <c r="AM305" t="s">
        <v>74</v>
      </c>
      <c r="AN305" t="s">
        <v>74</v>
      </c>
      <c r="AO305" t="s">
        <v>577</v>
      </c>
      <c r="AP305" t="s">
        <v>74</v>
      </c>
      <c r="AQ305" t="s">
        <v>74</v>
      </c>
      <c r="AR305" t="s">
        <v>74</v>
      </c>
      <c r="AS305" t="s">
        <v>74</v>
      </c>
      <c r="AT305" t="s">
        <v>5486</v>
      </c>
      <c r="AU305">
        <v>2013</v>
      </c>
      <c r="AV305">
        <v>8</v>
      </c>
      <c r="AW305">
        <v>10</v>
      </c>
      <c r="AX305" t="s">
        <v>74</v>
      </c>
      <c r="AY305" t="s">
        <v>74</v>
      </c>
      <c r="AZ305" t="s">
        <v>74</v>
      </c>
      <c r="BA305" t="s">
        <v>74</v>
      </c>
      <c r="BB305" t="s">
        <v>74</v>
      </c>
      <c r="BC305" t="s">
        <v>74</v>
      </c>
      <c r="BD305" t="s">
        <v>5487</v>
      </c>
      <c r="BE305" t="s">
        <v>5488</v>
      </c>
      <c r="BF305" t="str">
        <f>HYPERLINK("http://dx.doi.org/10.1371/journal.pone.0077359","http://dx.doi.org/10.1371/journal.pone.0077359")</f>
        <v>http://dx.doi.org/10.1371/journal.pone.0077359</v>
      </c>
      <c r="BG305" t="s">
        <v>74</v>
      </c>
      <c r="BH305" t="s">
        <v>74</v>
      </c>
      <c r="BI305" t="s">
        <v>74</v>
      </c>
      <c r="BJ305" t="s">
        <v>545</v>
      </c>
      <c r="BK305" t="s">
        <v>112</v>
      </c>
      <c r="BL305" t="s">
        <v>546</v>
      </c>
      <c r="BM305" t="s">
        <v>74</v>
      </c>
      <c r="BN305">
        <v>24146982</v>
      </c>
      <c r="BO305" t="s">
        <v>74</v>
      </c>
      <c r="BP305" t="s">
        <v>74</v>
      </c>
      <c r="BQ305" t="s">
        <v>74</v>
      </c>
      <c r="BR305" t="s">
        <v>93</v>
      </c>
      <c r="BS305" t="s">
        <v>5489</v>
      </c>
      <c r="BT305" t="str">
        <f>HYPERLINK("https%3A%2F%2Fwww.webofscience.com%2Fwos%2Fwoscc%2Ffull-record%2FWOS:000326022200033","View Full Record in Web of Science")</f>
        <v>View Full Record in Web of Science</v>
      </c>
    </row>
    <row r="306" spans="1:72" x14ac:dyDescent="0.15">
      <c r="A306" t="s">
        <v>72</v>
      </c>
      <c r="B306" t="s">
        <v>5629</v>
      </c>
      <c r="C306" t="s">
        <v>74</v>
      </c>
      <c r="D306" t="s">
        <v>74</v>
      </c>
      <c r="E306" t="s">
        <v>74</v>
      </c>
      <c r="F306" t="s">
        <v>5630</v>
      </c>
      <c r="G306" t="s">
        <v>74</v>
      </c>
      <c r="H306" t="s">
        <v>74</v>
      </c>
      <c r="I306" t="s">
        <v>5631</v>
      </c>
      <c r="J306" t="s">
        <v>5632</v>
      </c>
      <c r="K306" t="s">
        <v>74</v>
      </c>
      <c r="L306" t="s">
        <v>74</v>
      </c>
      <c r="M306" t="s">
        <v>74</v>
      </c>
      <c r="N306" t="s">
        <v>78</v>
      </c>
      <c r="O306" t="s">
        <v>74</v>
      </c>
      <c r="P306" t="s">
        <v>74</v>
      </c>
      <c r="Q306" t="s">
        <v>74</v>
      </c>
      <c r="R306" t="s">
        <v>74</v>
      </c>
      <c r="S306" t="s">
        <v>74</v>
      </c>
      <c r="T306" t="s">
        <v>5633</v>
      </c>
      <c r="U306" t="s">
        <v>5634</v>
      </c>
      <c r="V306" t="s">
        <v>5635</v>
      </c>
      <c r="W306" t="s">
        <v>5636</v>
      </c>
      <c r="X306" t="s">
        <v>5637</v>
      </c>
      <c r="Y306" t="s">
        <v>5638</v>
      </c>
      <c r="Z306" t="s">
        <v>5639</v>
      </c>
      <c r="AA306" t="s">
        <v>5640</v>
      </c>
      <c r="AB306" t="s">
        <v>5641</v>
      </c>
      <c r="AC306" t="s">
        <v>74</v>
      </c>
      <c r="AD306" t="s">
        <v>74</v>
      </c>
      <c r="AE306" t="s">
        <v>74</v>
      </c>
      <c r="AF306" t="s">
        <v>74</v>
      </c>
      <c r="AG306">
        <v>34</v>
      </c>
      <c r="AH306">
        <v>18</v>
      </c>
      <c r="AI306">
        <v>18</v>
      </c>
      <c r="AJ306">
        <v>1</v>
      </c>
      <c r="AK306">
        <v>23</v>
      </c>
      <c r="AL306" t="s">
        <v>74</v>
      </c>
      <c r="AM306" t="s">
        <v>74</v>
      </c>
      <c r="AN306" t="s">
        <v>74</v>
      </c>
      <c r="AO306" t="s">
        <v>5642</v>
      </c>
      <c r="AP306" t="s">
        <v>5643</v>
      </c>
      <c r="AQ306" t="s">
        <v>74</v>
      </c>
      <c r="AR306" t="s">
        <v>74</v>
      </c>
      <c r="AS306" t="s">
        <v>74</v>
      </c>
      <c r="AT306" t="s">
        <v>640</v>
      </c>
      <c r="AU306">
        <v>2017</v>
      </c>
      <c r="AV306">
        <v>96</v>
      </c>
      <c r="AW306">
        <v>2</v>
      </c>
      <c r="AX306" t="s">
        <v>74</v>
      </c>
      <c r="AY306" t="s">
        <v>74</v>
      </c>
      <c r="AZ306" t="s">
        <v>74</v>
      </c>
      <c r="BA306" t="s">
        <v>74</v>
      </c>
      <c r="BB306">
        <v>208</v>
      </c>
      <c r="BC306">
        <v>216</v>
      </c>
      <c r="BD306" t="s">
        <v>74</v>
      </c>
      <c r="BE306" t="s">
        <v>5644</v>
      </c>
      <c r="BF306" t="str">
        <f>HYPERLINK("http://dx.doi.org/10.1177/0022034516675849","http://dx.doi.org/10.1177/0022034516675849")</f>
        <v>http://dx.doi.org/10.1177/0022034516675849</v>
      </c>
      <c r="BG306" t="s">
        <v>74</v>
      </c>
      <c r="BH306" t="s">
        <v>74</v>
      </c>
      <c r="BI306" t="s">
        <v>74</v>
      </c>
      <c r="BJ306" t="s">
        <v>5645</v>
      </c>
      <c r="BK306" t="s">
        <v>112</v>
      </c>
      <c r="BL306" t="s">
        <v>5645</v>
      </c>
      <c r="BM306" t="s">
        <v>74</v>
      </c>
      <c r="BN306">
        <v>27770039</v>
      </c>
      <c r="BO306" t="s">
        <v>74</v>
      </c>
      <c r="BP306" t="s">
        <v>74</v>
      </c>
      <c r="BQ306" t="s">
        <v>74</v>
      </c>
      <c r="BR306" t="s">
        <v>93</v>
      </c>
      <c r="BS306" t="s">
        <v>5646</v>
      </c>
      <c r="BT306" t="str">
        <f>HYPERLINK("https%3A%2F%2Fwww.webofscience.com%2Fwos%2Fwoscc%2Ffull-record%2FWOS:000393965500012","View Full Record in Web of Science")</f>
        <v>View Full Record in Web of Science</v>
      </c>
    </row>
    <row r="307" spans="1:72" x14ac:dyDescent="0.15">
      <c r="A307" t="s">
        <v>72</v>
      </c>
      <c r="B307" t="s">
        <v>5936</v>
      </c>
      <c r="C307" t="s">
        <v>74</v>
      </c>
      <c r="D307" t="s">
        <v>74</v>
      </c>
      <c r="E307" t="s">
        <v>74</v>
      </c>
      <c r="F307" t="s">
        <v>5937</v>
      </c>
      <c r="G307" t="s">
        <v>74</v>
      </c>
      <c r="H307" t="s">
        <v>74</v>
      </c>
      <c r="I307" t="s">
        <v>5938</v>
      </c>
      <c r="J307" t="s">
        <v>5939</v>
      </c>
      <c r="K307" t="s">
        <v>74</v>
      </c>
      <c r="L307" t="s">
        <v>74</v>
      </c>
      <c r="M307" t="s">
        <v>74</v>
      </c>
      <c r="N307" t="s">
        <v>78</v>
      </c>
      <c r="O307" t="s">
        <v>74</v>
      </c>
      <c r="P307" t="s">
        <v>74</v>
      </c>
      <c r="Q307" t="s">
        <v>74</v>
      </c>
      <c r="R307" t="s">
        <v>74</v>
      </c>
      <c r="S307" t="s">
        <v>74</v>
      </c>
      <c r="T307" t="s">
        <v>5940</v>
      </c>
      <c r="U307" t="s">
        <v>5941</v>
      </c>
      <c r="V307" t="s">
        <v>5942</v>
      </c>
      <c r="W307" t="s">
        <v>5943</v>
      </c>
      <c r="X307" t="s">
        <v>5944</v>
      </c>
      <c r="Y307" t="s">
        <v>5945</v>
      </c>
      <c r="Z307" t="s">
        <v>5946</v>
      </c>
      <c r="AA307" t="s">
        <v>5947</v>
      </c>
      <c r="AB307" t="s">
        <v>5948</v>
      </c>
      <c r="AC307" t="s">
        <v>74</v>
      </c>
      <c r="AD307" t="s">
        <v>74</v>
      </c>
      <c r="AE307" t="s">
        <v>74</v>
      </c>
      <c r="AF307" t="s">
        <v>74</v>
      </c>
      <c r="AG307">
        <v>50</v>
      </c>
      <c r="AH307">
        <v>18</v>
      </c>
      <c r="AI307">
        <v>18</v>
      </c>
      <c r="AJ307">
        <v>1</v>
      </c>
      <c r="AK307">
        <v>2</v>
      </c>
      <c r="AL307" t="s">
        <v>74</v>
      </c>
      <c r="AM307" t="s">
        <v>74</v>
      </c>
      <c r="AN307" t="s">
        <v>74</v>
      </c>
      <c r="AO307" t="s">
        <v>5949</v>
      </c>
      <c r="AP307" t="s">
        <v>74</v>
      </c>
      <c r="AQ307" t="s">
        <v>74</v>
      </c>
      <c r="AR307" t="s">
        <v>74</v>
      </c>
      <c r="AS307" t="s">
        <v>74</v>
      </c>
      <c r="AT307" t="s">
        <v>236</v>
      </c>
      <c r="AU307">
        <v>2019</v>
      </c>
      <c r="AV307">
        <v>9</v>
      </c>
      <c r="AW307">
        <v>11</v>
      </c>
      <c r="AX307" t="s">
        <v>74</v>
      </c>
      <c r="AY307" t="s">
        <v>74</v>
      </c>
      <c r="AZ307" t="s">
        <v>74</v>
      </c>
      <c r="BA307" t="s">
        <v>74</v>
      </c>
      <c r="BB307" t="s">
        <v>74</v>
      </c>
      <c r="BC307" t="s">
        <v>74</v>
      </c>
      <c r="BD307">
        <v>865</v>
      </c>
      <c r="BE307" t="s">
        <v>5950</v>
      </c>
      <c r="BF307" t="str">
        <f>HYPERLINK("http://dx.doi.org/10.3390/ani9110865","http://dx.doi.org/10.3390/ani9110865")</f>
        <v>http://dx.doi.org/10.3390/ani9110865</v>
      </c>
      <c r="BG307" t="s">
        <v>74</v>
      </c>
      <c r="BH307" t="s">
        <v>74</v>
      </c>
      <c r="BI307" t="s">
        <v>74</v>
      </c>
      <c r="BJ307" t="s">
        <v>5951</v>
      </c>
      <c r="BK307" t="s">
        <v>112</v>
      </c>
      <c r="BL307" t="s">
        <v>5952</v>
      </c>
      <c r="BM307" t="s">
        <v>74</v>
      </c>
      <c r="BN307">
        <v>31731505</v>
      </c>
      <c r="BO307" t="s">
        <v>74</v>
      </c>
      <c r="BP307" t="s">
        <v>74</v>
      </c>
      <c r="BQ307" t="s">
        <v>74</v>
      </c>
      <c r="BR307" t="s">
        <v>93</v>
      </c>
      <c r="BS307" t="s">
        <v>5953</v>
      </c>
      <c r="BT307" t="str">
        <f>HYPERLINK("https%3A%2F%2Fwww.webofscience.com%2Fwos%2Fwoscc%2Ffull-record%2FWOS:000502299900011","View Full Record in Web of Science")</f>
        <v>View Full Record in Web of Science</v>
      </c>
    </row>
    <row r="308" spans="1:72" x14ac:dyDescent="0.15">
      <c r="A308" t="s">
        <v>72</v>
      </c>
      <c r="B308" t="s">
        <v>7767</v>
      </c>
      <c r="C308" t="s">
        <v>74</v>
      </c>
      <c r="D308" t="s">
        <v>74</v>
      </c>
      <c r="E308" t="s">
        <v>74</v>
      </c>
      <c r="F308" t="s">
        <v>7768</v>
      </c>
      <c r="G308" t="s">
        <v>74</v>
      </c>
      <c r="H308" t="s">
        <v>74</v>
      </c>
      <c r="I308" t="s">
        <v>7769</v>
      </c>
      <c r="J308" t="s">
        <v>1950</v>
      </c>
      <c r="K308" t="s">
        <v>74</v>
      </c>
      <c r="L308" t="s">
        <v>74</v>
      </c>
      <c r="M308" t="s">
        <v>74</v>
      </c>
      <c r="N308" t="s">
        <v>78</v>
      </c>
      <c r="O308" t="s">
        <v>74</v>
      </c>
      <c r="P308" t="s">
        <v>74</v>
      </c>
      <c r="Q308" t="s">
        <v>74</v>
      </c>
      <c r="R308" t="s">
        <v>74</v>
      </c>
      <c r="S308" t="s">
        <v>74</v>
      </c>
      <c r="T308" t="s">
        <v>7770</v>
      </c>
      <c r="U308" t="s">
        <v>7771</v>
      </c>
      <c r="V308" t="s">
        <v>7772</v>
      </c>
      <c r="W308" t="s">
        <v>7773</v>
      </c>
      <c r="X308" t="s">
        <v>7774</v>
      </c>
      <c r="Y308" t="s">
        <v>7775</v>
      </c>
      <c r="Z308" t="s">
        <v>1957</v>
      </c>
      <c r="AA308" t="s">
        <v>7776</v>
      </c>
      <c r="AB308" t="s">
        <v>7777</v>
      </c>
      <c r="AC308" t="s">
        <v>74</v>
      </c>
      <c r="AD308" t="s">
        <v>74</v>
      </c>
      <c r="AE308" t="s">
        <v>74</v>
      </c>
      <c r="AF308" t="s">
        <v>74</v>
      </c>
      <c r="AG308">
        <v>41</v>
      </c>
      <c r="AH308">
        <v>18</v>
      </c>
      <c r="AI308">
        <v>18</v>
      </c>
      <c r="AJ308">
        <v>0</v>
      </c>
      <c r="AK308">
        <v>5</v>
      </c>
      <c r="AL308" t="s">
        <v>74</v>
      </c>
      <c r="AM308" t="s">
        <v>74</v>
      </c>
      <c r="AN308" t="s">
        <v>74</v>
      </c>
      <c r="AO308" t="s">
        <v>74</v>
      </c>
      <c r="AP308" t="s">
        <v>1960</v>
      </c>
      <c r="AQ308" t="s">
        <v>74</v>
      </c>
      <c r="AR308" t="s">
        <v>74</v>
      </c>
      <c r="AS308" t="s">
        <v>74</v>
      </c>
      <c r="AT308" t="s">
        <v>4794</v>
      </c>
      <c r="AU308">
        <v>2014</v>
      </c>
      <c r="AV308">
        <v>33</v>
      </c>
      <c r="AW308" t="s">
        <v>74</v>
      </c>
      <c r="AX308" t="s">
        <v>74</v>
      </c>
      <c r="AY308" t="s">
        <v>74</v>
      </c>
      <c r="AZ308" t="s">
        <v>74</v>
      </c>
      <c r="BA308" t="s">
        <v>74</v>
      </c>
      <c r="BB308" t="s">
        <v>74</v>
      </c>
      <c r="BC308" t="s">
        <v>74</v>
      </c>
      <c r="BD308">
        <v>86</v>
      </c>
      <c r="BE308" t="s">
        <v>7778</v>
      </c>
      <c r="BF308" t="str">
        <f>HYPERLINK("http://dx.doi.org/10.1186/s13046-014-0086-5","http://dx.doi.org/10.1186/s13046-014-0086-5")</f>
        <v>http://dx.doi.org/10.1186/s13046-014-0086-5</v>
      </c>
      <c r="BG308" t="s">
        <v>74</v>
      </c>
      <c r="BH308" t="s">
        <v>74</v>
      </c>
      <c r="BI308" t="s">
        <v>74</v>
      </c>
      <c r="BJ308" t="s">
        <v>146</v>
      </c>
      <c r="BK308" t="s">
        <v>112</v>
      </c>
      <c r="BL308" t="s">
        <v>146</v>
      </c>
      <c r="BM308" t="s">
        <v>74</v>
      </c>
      <c r="BN308">
        <v>25266310</v>
      </c>
      <c r="BO308" t="s">
        <v>74</v>
      </c>
      <c r="BP308" t="s">
        <v>74</v>
      </c>
      <c r="BQ308" t="s">
        <v>74</v>
      </c>
      <c r="BR308" t="s">
        <v>93</v>
      </c>
      <c r="BS308" t="s">
        <v>7779</v>
      </c>
      <c r="BT308" t="str">
        <f>HYPERLINK("https%3A%2F%2Fwww.webofscience.com%2Fwos%2Fwoscc%2Ffull-record%2FWOS:000344704300001","View Full Record in Web of Science")</f>
        <v>View Full Record in Web of Science</v>
      </c>
    </row>
    <row r="309" spans="1:72" x14ac:dyDescent="0.15">
      <c r="A309" t="s">
        <v>72</v>
      </c>
      <c r="B309" t="s">
        <v>9387</v>
      </c>
      <c r="C309" t="s">
        <v>74</v>
      </c>
      <c r="D309" t="s">
        <v>74</v>
      </c>
      <c r="E309" t="s">
        <v>74</v>
      </c>
      <c r="F309" t="s">
        <v>9387</v>
      </c>
      <c r="G309" t="s">
        <v>74</v>
      </c>
      <c r="H309" t="s">
        <v>74</v>
      </c>
      <c r="I309" t="s">
        <v>9388</v>
      </c>
      <c r="J309" t="s">
        <v>9389</v>
      </c>
      <c r="K309" t="s">
        <v>74</v>
      </c>
      <c r="L309" t="s">
        <v>74</v>
      </c>
      <c r="M309" t="s">
        <v>74</v>
      </c>
      <c r="N309" t="s">
        <v>78</v>
      </c>
      <c r="O309" t="s">
        <v>74</v>
      </c>
      <c r="P309" t="s">
        <v>74</v>
      </c>
      <c r="Q309" t="s">
        <v>74</v>
      </c>
      <c r="R309" t="s">
        <v>74</v>
      </c>
      <c r="S309" t="s">
        <v>74</v>
      </c>
      <c r="T309" t="s">
        <v>74</v>
      </c>
      <c r="U309" t="s">
        <v>9390</v>
      </c>
      <c r="V309" t="s">
        <v>9391</v>
      </c>
      <c r="W309" t="s">
        <v>9392</v>
      </c>
      <c r="X309" t="s">
        <v>1319</v>
      </c>
      <c r="Y309" t="s">
        <v>9393</v>
      </c>
      <c r="Z309" t="s">
        <v>74</v>
      </c>
      <c r="AA309" t="s">
        <v>9394</v>
      </c>
      <c r="AB309" t="s">
        <v>74</v>
      </c>
      <c r="AC309" t="s">
        <v>74</v>
      </c>
      <c r="AD309" t="s">
        <v>74</v>
      </c>
      <c r="AE309" t="s">
        <v>74</v>
      </c>
      <c r="AF309" t="s">
        <v>74</v>
      </c>
      <c r="AG309">
        <v>54</v>
      </c>
      <c r="AH309">
        <v>18</v>
      </c>
      <c r="AI309">
        <v>20</v>
      </c>
      <c r="AJ309">
        <v>0</v>
      </c>
      <c r="AK309">
        <v>1</v>
      </c>
      <c r="AL309" t="s">
        <v>74</v>
      </c>
      <c r="AM309" t="s">
        <v>74</v>
      </c>
      <c r="AN309" t="s">
        <v>74</v>
      </c>
      <c r="AO309" t="s">
        <v>9395</v>
      </c>
      <c r="AP309" t="s">
        <v>9396</v>
      </c>
      <c r="AQ309" t="s">
        <v>74</v>
      </c>
      <c r="AR309" t="s">
        <v>74</v>
      </c>
      <c r="AS309" t="s">
        <v>74</v>
      </c>
      <c r="AT309" t="s">
        <v>503</v>
      </c>
      <c r="AU309">
        <v>1991</v>
      </c>
      <c r="AV309">
        <v>139</v>
      </c>
      <c r="AW309">
        <v>1</v>
      </c>
      <c r="AX309" t="s">
        <v>74</v>
      </c>
      <c r="AY309" t="s">
        <v>74</v>
      </c>
      <c r="AZ309" t="s">
        <v>74</v>
      </c>
      <c r="BA309" t="s">
        <v>74</v>
      </c>
      <c r="BB309">
        <v>185</v>
      </c>
      <c r="BC309">
        <v>197</v>
      </c>
      <c r="BD309" t="s">
        <v>74</v>
      </c>
      <c r="BE309" t="s">
        <v>74</v>
      </c>
      <c r="BF309" t="s">
        <v>74</v>
      </c>
      <c r="BG309" t="s">
        <v>74</v>
      </c>
      <c r="BH309" t="s">
        <v>74</v>
      </c>
      <c r="BI309" t="s">
        <v>74</v>
      </c>
      <c r="BJ309" t="s">
        <v>7889</v>
      </c>
      <c r="BK309" t="s">
        <v>112</v>
      </c>
      <c r="BL309" t="s">
        <v>7889</v>
      </c>
      <c r="BM309" t="s">
        <v>74</v>
      </c>
      <c r="BN309">
        <v>1649554</v>
      </c>
      <c r="BO309" t="s">
        <v>74</v>
      </c>
      <c r="BP309" t="s">
        <v>74</v>
      </c>
      <c r="BQ309" t="s">
        <v>74</v>
      </c>
      <c r="BR309" t="s">
        <v>93</v>
      </c>
      <c r="BS309" t="s">
        <v>9397</v>
      </c>
      <c r="BT309" t="str">
        <f>HYPERLINK("https%3A%2F%2Fwww.webofscience.com%2Fwos%2Fwoscc%2Ffull-record%2FWOS:A1991FV81600021","View Full Record in Web of Science")</f>
        <v>View Full Record in Web of Science</v>
      </c>
    </row>
    <row r="310" spans="1:72" x14ac:dyDescent="0.15">
      <c r="A310" t="s">
        <v>72</v>
      </c>
      <c r="B310" t="s">
        <v>9967</v>
      </c>
      <c r="C310" t="s">
        <v>74</v>
      </c>
      <c r="D310" t="s">
        <v>74</v>
      </c>
      <c r="E310" t="s">
        <v>74</v>
      </c>
      <c r="F310" t="s">
        <v>9968</v>
      </c>
      <c r="G310" t="s">
        <v>74</v>
      </c>
      <c r="H310" t="s">
        <v>74</v>
      </c>
      <c r="I310" t="s">
        <v>9969</v>
      </c>
      <c r="J310" t="s">
        <v>1980</v>
      </c>
      <c r="K310" t="s">
        <v>74</v>
      </c>
      <c r="L310" t="s">
        <v>74</v>
      </c>
      <c r="M310" t="s">
        <v>74</v>
      </c>
      <c r="N310" t="s">
        <v>78</v>
      </c>
      <c r="O310" t="s">
        <v>74</v>
      </c>
      <c r="P310" t="s">
        <v>74</v>
      </c>
      <c r="Q310" t="s">
        <v>74</v>
      </c>
      <c r="R310" t="s">
        <v>74</v>
      </c>
      <c r="S310" t="s">
        <v>74</v>
      </c>
      <c r="T310" t="s">
        <v>9970</v>
      </c>
      <c r="U310" t="s">
        <v>9971</v>
      </c>
      <c r="V310" t="s">
        <v>9972</v>
      </c>
      <c r="W310" t="s">
        <v>9973</v>
      </c>
      <c r="X310" t="s">
        <v>9974</v>
      </c>
      <c r="Y310" t="s">
        <v>9975</v>
      </c>
      <c r="Z310" t="s">
        <v>9976</v>
      </c>
      <c r="AA310" t="s">
        <v>74</v>
      </c>
      <c r="AB310" t="s">
        <v>9977</v>
      </c>
      <c r="AC310" t="s">
        <v>74</v>
      </c>
      <c r="AD310" t="s">
        <v>74</v>
      </c>
      <c r="AE310" t="s">
        <v>74</v>
      </c>
      <c r="AF310" t="s">
        <v>74</v>
      </c>
      <c r="AG310">
        <v>22</v>
      </c>
      <c r="AH310">
        <v>18</v>
      </c>
      <c r="AI310">
        <v>19</v>
      </c>
      <c r="AJ310">
        <v>4</v>
      </c>
      <c r="AK310">
        <v>7</v>
      </c>
      <c r="AL310" t="s">
        <v>74</v>
      </c>
      <c r="AM310" t="s">
        <v>74</v>
      </c>
      <c r="AN310" t="s">
        <v>74</v>
      </c>
      <c r="AO310" t="s">
        <v>1990</v>
      </c>
      <c r="AP310" t="s">
        <v>1991</v>
      </c>
      <c r="AQ310" t="s">
        <v>74</v>
      </c>
      <c r="AR310" t="s">
        <v>74</v>
      </c>
      <c r="AS310" t="s">
        <v>74</v>
      </c>
      <c r="AT310" t="s">
        <v>437</v>
      </c>
      <c r="AU310">
        <v>2021</v>
      </c>
      <c r="AV310">
        <v>23</v>
      </c>
      <c r="AW310">
        <v>10</v>
      </c>
      <c r="AX310" t="s">
        <v>74</v>
      </c>
      <c r="AY310" t="s">
        <v>74</v>
      </c>
      <c r="AZ310" t="s">
        <v>74</v>
      </c>
      <c r="BA310" t="s">
        <v>74</v>
      </c>
      <c r="BB310">
        <v>1789</v>
      </c>
      <c r="BC310">
        <v>1797</v>
      </c>
      <c r="BD310" t="s">
        <v>74</v>
      </c>
      <c r="BE310" t="s">
        <v>9978</v>
      </c>
      <c r="BF310" t="str">
        <f>HYPERLINK("http://dx.doi.org/10.1093/neuonc/noab057","http://dx.doi.org/10.1093/neuonc/noab057")</f>
        <v>http://dx.doi.org/10.1093/neuonc/noab057</v>
      </c>
      <c r="BG310" t="s">
        <v>74</v>
      </c>
      <c r="BH310" t="s">
        <v>2200</v>
      </c>
      <c r="BI310" t="s">
        <v>74</v>
      </c>
      <c r="BJ310" t="s">
        <v>1993</v>
      </c>
      <c r="BK310" t="s">
        <v>112</v>
      </c>
      <c r="BL310" t="s">
        <v>1994</v>
      </c>
      <c r="BM310" t="s">
        <v>74</v>
      </c>
      <c r="BN310">
        <v>33693781</v>
      </c>
      <c r="BO310" t="s">
        <v>74</v>
      </c>
      <c r="BP310" t="s">
        <v>74</v>
      </c>
      <c r="BQ310" t="s">
        <v>74</v>
      </c>
      <c r="BR310" t="s">
        <v>93</v>
      </c>
      <c r="BS310" t="s">
        <v>9979</v>
      </c>
      <c r="BT310" t="str">
        <f>HYPERLINK("https%3A%2F%2Fwww.webofscience.com%2Fwos%2Fwoscc%2Ffull-record%2FWOS:000708743700019","View Full Record in Web of Science")</f>
        <v>View Full Record in Web of Science</v>
      </c>
    </row>
    <row r="311" spans="1:72" x14ac:dyDescent="0.15">
      <c r="A311" t="s">
        <v>72</v>
      </c>
      <c r="B311" t="s">
        <v>10155</v>
      </c>
      <c r="C311" t="s">
        <v>74</v>
      </c>
      <c r="D311" t="s">
        <v>74</v>
      </c>
      <c r="E311" t="s">
        <v>74</v>
      </c>
      <c r="F311" t="s">
        <v>10156</v>
      </c>
      <c r="G311" t="s">
        <v>74</v>
      </c>
      <c r="H311" t="s">
        <v>74</v>
      </c>
      <c r="I311" t="s">
        <v>10157</v>
      </c>
      <c r="J311" t="s">
        <v>10158</v>
      </c>
      <c r="K311" t="s">
        <v>74</v>
      </c>
      <c r="L311" t="s">
        <v>74</v>
      </c>
      <c r="M311" t="s">
        <v>74</v>
      </c>
      <c r="N311" t="s">
        <v>78</v>
      </c>
      <c r="O311" t="s">
        <v>74</v>
      </c>
      <c r="P311" t="s">
        <v>74</v>
      </c>
      <c r="Q311" t="s">
        <v>74</v>
      </c>
      <c r="R311" t="s">
        <v>74</v>
      </c>
      <c r="S311" t="s">
        <v>74</v>
      </c>
      <c r="T311" t="s">
        <v>10159</v>
      </c>
      <c r="U311" t="s">
        <v>10160</v>
      </c>
      <c r="V311" t="s">
        <v>10161</v>
      </c>
      <c r="W311" t="s">
        <v>10162</v>
      </c>
      <c r="X311" t="s">
        <v>10163</v>
      </c>
      <c r="Y311" t="s">
        <v>10164</v>
      </c>
      <c r="Z311" t="s">
        <v>10165</v>
      </c>
      <c r="AA311" t="s">
        <v>10166</v>
      </c>
      <c r="AB311" t="s">
        <v>10167</v>
      </c>
      <c r="AC311" t="s">
        <v>74</v>
      </c>
      <c r="AD311" t="s">
        <v>74</v>
      </c>
      <c r="AE311" t="s">
        <v>74</v>
      </c>
      <c r="AF311" t="s">
        <v>74</v>
      </c>
      <c r="AG311">
        <v>40</v>
      </c>
      <c r="AH311">
        <v>18</v>
      </c>
      <c r="AI311">
        <v>20</v>
      </c>
      <c r="AJ311">
        <v>0</v>
      </c>
      <c r="AK311">
        <v>8</v>
      </c>
      <c r="AL311" t="s">
        <v>74</v>
      </c>
      <c r="AM311" t="s">
        <v>74</v>
      </c>
      <c r="AN311" t="s">
        <v>74</v>
      </c>
      <c r="AO311" t="s">
        <v>10168</v>
      </c>
      <c r="AP311" t="s">
        <v>10169</v>
      </c>
      <c r="AQ311" t="s">
        <v>74</v>
      </c>
      <c r="AR311" t="s">
        <v>74</v>
      </c>
      <c r="AS311" t="s">
        <v>74</v>
      </c>
      <c r="AT311" t="s">
        <v>743</v>
      </c>
      <c r="AU311">
        <v>2013</v>
      </c>
      <c r="AV311">
        <v>18</v>
      </c>
      <c r="AW311">
        <v>3</v>
      </c>
      <c r="AX311" t="s">
        <v>74</v>
      </c>
      <c r="AY311" t="s">
        <v>74</v>
      </c>
      <c r="AZ311" t="s">
        <v>74</v>
      </c>
      <c r="BA311" t="s">
        <v>74</v>
      </c>
      <c r="BB311">
        <v>358</v>
      </c>
      <c r="BC311">
        <v>368</v>
      </c>
      <c r="BD311" t="s">
        <v>74</v>
      </c>
      <c r="BE311" t="s">
        <v>10170</v>
      </c>
      <c r="BF311" t="str">
        <f>HYPERLINK("http://dx.doi.org/10.1038/mp.2012.70","http://dx.doi.org/10.1038/mp.2012.70")</f>
        <v>http://dx.doi.org/10.1038/mp.2012.70</v>
      </c>
      <c r="BG311" t="s">
        <v>74</v>
      </c>
      <c r="BH311" t="s">
        <v>74</v>
      </c>
      <c r="BI311" t="s">
        <v>74</v>
      </c>
      <c r="BJ311" t="s">
        <v>10171</v>
      </c>
      <c r="BK311" t="s">
        <v>112</v>
      </c>
      <c r="BL311" t="s">
        <v>10172</v>
      </c>
      <c r="BM311" t="s">
        <v>74</v>
      </c>
      <c r="BN311">
        <v>22688190</v>
      </c>
      <c r="BO311" t="s">
        <v>74</v>
      </c>
      <c r="BP311" t="s">
        <v>74</v>
      </c>
      <c r="BQ311" t="s">
        <v>74</v>
      </c>
      <c r="BR311" t="s">
        <v>93</v>
      </c>
      <c r="BS311" t="s">
        <v>10173</v>
      </c>
      <c r="BT311" t="str">
        <f>HYPERLINK("https%3A%2F%2Fwww.webofscience.com%2Fwos%2Fwoscc%2Ffull-record%2FWOS:000316568100013","View Full Record in Web of Science")</f>
        <v>View Full Record in Web of Science</v>
      </c>
    </row>
    <row r="312" spans="1:72" x14ac:dyDescent="0.15">
      <c r="A312" t="s">
        <v>72</v>
      </c>
      <c r="B312" t="s">
        <v>10536</v>
      </c>
      <c r="C312" t="s">
        <v>74</v>
      </c>
      <c r="D312" t="s">
        <v>74</v>
      </c>
      <c r="E312" t="s">
        <v>74</v>
      </c>
      <c r="F312" t="s">
        <v>10537</v>
      </c>
      <c r="G312" t="s">
        <v>74</v>
      </c>
      <c r="H312" t="s">
        <v>74</v>
      </c>
      <c r="I312" t="s">
        <v>10538</v>
      </c>
      <c r="J312" t="s">
        <v>10539</v>
      </c>
      <c r="K312" t="s">
        <v>74</v>
      </c>
      <c r="L312" t="s">
        <v>74</v>
      </c>
      <c r="M312" t="s">
        <v>74</v>
      </c>
      <c r="N312" t="s">
        <v>78</v>
      </c>
      <c r="O312" t="s">
        <v>74</v>
      </c>
      <c r="P312" t="s">
        <v>74</v>
      </c>
      <c r="Q312" t="s">
        <v>74</v>
      </c>
      <c r="R312" t="s">
        <v>74</v>
      </c>
      <c r="S312" t="s">
        <v>74</v>
      </c>
      <c r="T312" t="s">
        <v>10540</v>
      </c>
      <c r="U312" t="s">
        <v>10541</v>
      </c>
      <c r="V312" t="s">
        <v>10542</v>
      </c>
      <c r="W312" t="s">
        <v>10543</v>
      </c>
      <c r="X312" t="s">
        <v>10544</v>
      </c>
      <c r="Y312" t="s">
        <v>10545</v>
      </c>
      <c r="Z312" t="s">
        <v>10546</v>
      </c>
      <c r="AA312" t="s">
        <v>74</v>
      </c>
      <c r="AB312" t="s">
        <v>74</v>
      </c>
      <c r="AC312" t="s">
        <v>74</v>
      </c>
      <c r="AD312" t="s">
        <v>74</v>
      </c>
      <c r="AE312" t="s">
        <v>74</v>
      </c>
      <c r="AF312" t="s">
        <v>74</v>
      </c>
      <c r="AG312">
        <v>74</v>
      </c>
      <c r="AH312">
        <v>18</v>
      </c>
      <c r="AI312">
        <v>18</v>
      </c>
      <c r="AJ312">
        <v>1</v>
      </c>
      <c r="AK312">
        <v>4</v>
      </c>
      <c r="AL312" t="s">
        <v>74</v>
      </c>
      <c r="AM312" t="s">
        <v>74</v>
      </c>
      <c r="AN312" t="s">
        <v>74</v>
      </c>
      <c r="AO312" t="s">
        <v>74</v>
      </c>
      <c r="AP312" t="s">
        <v>10547</v>
      </c>
      <c r="AQ312" t="s">
        <v>74</v>
      </c>
      <c r="AR312" t="s">
        <v>74</v>
      </c>
      <c r="AS312" t="s">
        <v>74</v>
      </c>
      <c r="AT312" t="s">
        <v>108</v>
      </c>
      <c r="AU312">
        <v>2020</v>
      </c>
      <c r="AV312">
        <v>8</v>
      </c>
      <c r="AW312">
        <v>1</v>
      </c>
      <c r="AX312" t="s">
        <v>74</v>
      </c>
      <c r="AY312" t="s">
        <v>74</v>
      </c>
      <c r="AZ312" t="s">
        <v>74</v>
      </c>
      <c r="BA312" t="s">
        <v>74</v>
      </c>
      <c r="BB312" t="s">
        <v>74</v>
      </c>
      <c r="BC312" t="s">
        <v>74</v>
      </c>
      <c r="BD312">
        <v>58</v>
      </c>
      <c r="BE312" t="s">
        <v>10548</v>
      </c>
      <c r="BF312" t="str">
        <f>HYPERLINK("http://dx.doi.org/10.3390/pr8010058","http://dx.doi.org/10.3390/pr8010058")</f>
        <v>http://dx.doi.org/10.3390/pr8010058</v>
      </c>
      <c r="BG312" t="s">
        <v>74</v>
      </c>
      <c r="BH312" t="s">
        <v>74</v>
      </c>
      <c r="BI312" t="s">
        <v>74</v>
      </c>
      <c r="BJ312" t="s">
        <v>10549</v>
      </c>
      <c r="BK312" t="s">
        <v>112</v>
      </c>
      <c r="BL312" t="s">
        <v>4723</v>
      </c>
      <c r="BM312" t="s">
        <v>74</v>
      </c>
      <c r="BN312" t="s">
        <v>74</v>
      </c>
      <c r="BO312" t="s">
        <v>74</v>
      </c>
      <c r="BP312" t="s">
        <v>74</v>
      </c>
      <c r="BQ312" t="s">
        <v>74</v>
      </c>
      <c r="BR312" t="s">
        <v>93</v>
      </c>
      <c r="BS312" t="s">
        <v>10550</v>
      </c>
      <c r="BT312" t="str">
        <f>HYPERLINK("https%3A%2F%2Fwww.webofscience.com%2Fwos%2Fwoscc%2Ffull-record%2FWOS:000516825300019","View Full Record in Web of Science")</f>
        <v>View Full Record in Web of Science</v>
      </c>
    </row>
    <row r="313" spans="1:72" x14ac:dyDescent="0.15">
      <c r="A313" t="s">
        <v>72</v>
      </c>
      <c r="B313" t="s">
        <v>1495</v>
      </c>
      <c r="C313" t="s">
        <v>74</v>
      </c>
      <c r="D313" t="s">
        <v>74</v>
      </c>
      <c r="E313" t="s">
        <v>74</v>
      </c>
      <c r="F313" t="s">
        <v>1496</v>
      </c>
      <c r="G313" t="s">
        <v>74</v>
      </c>
      <c r="H313" t="s">
        <v>74</v>
      </c>
      <c r="I313" t="s">
        <v>1497</v>
      </c>
      <c r="J313" t="s">
        <v>262</v>
      </c>
      <c r="K313" t="s">
        <v>74</v>
      </c>
      <c r="L313" t="s">
        <v>74</v>
      </c>
      <c r="M313" t="s">
        <v>74</v>
      </c>
      <c r="N313" t="s">
        <v>78</v>
      </c>
      <c r="O313" t="s">
        <v>74</v>
      </c>
      <c r="P313" t="s">
        <v>74</v>
      </c>
      <c r="Q313" t="s">
        <v>74</v>
      </c>
      <c r="R313" t="s">
        <v>74</v>
      </c>
      <c r="S313" t="s">
        <v>74</v>
      </c>
      <c r="T313" t="s">
        <v>1498</v>
      </c>
      <c r="U313" t="s">
        <v>1499</v>
      </c>
      <c r="V313" t="s">
        <v>1500</v>
      </c>
      <c r="W313" t="s">
        <v>1501</v>
      </c>
      <c r="X313" t="s">
        <v>1502</v>
      </c>
      <c r="Y313" t="s">
        <v>1503</v>
      </c>
      <c r="Z313" t="s">
        <v>1504</v>
      </c>
      <c r="AA313" t="s">
        <v>1505</v>
      </c>
      <c r="AB313" t="s">
        <v>1506</v>
      </c>
      <c r="AC313" t="s">
        <v>74</v>
      </c>
      <c r="AD313" t="s">
        <v>74</v>
      </c>
      <c r="AE313" t="s">
        <v>74</v>
      </c>
      <c r="AF313" t="s">
        <v>74</v>
      </c>
      <c r="AG313">
        <v>47</v>
      </c>
      <c r="AH313">
        <v>17</v>
      </c>
      <c r="AI313">
        <v>17</v>
      </c>
      <c r="AJ313">
        <v>0</v>
      </c>
      <c r="AK313">
        <v>4</v>
      </c>
      <c r="AL313" t="s">
        <v>74</v>
      </c>
      <c r="AM313" t="s">
        <v>74</v>
      </c>
      <c r="AN313" t="s">
        <v>74</v>
      </c>
      <c r="AO313" t="s">
        <v>270</v>
      </c>
      <c r="AP313" t="s">
        <v>74</v>
      </c>
      <c r="AQ313" t="s">
        <v>74</v>
      </c>
      <c r="AR313" t="s">
        <v>74</v>
      </c>
      <c r="AS313" t="s">
        <v>74</v>
      </c>
      <c r="AT313" t="s">
        <v>1507</v>
      </c>
      <c r="AU313">
        <v>2019</v>
      </c>
      <c r="AV313">
        <v>9</v>
      </c>
      <c r="AW313" t="s">
        <v>74</v>
      </c>
      <c r="AX313" t="s">
        <v>74</v>
      </c>
      <c r="AY313" t="s">
        <v>74</v>
      </c>
      <c r="AZ313" t="s">
        <v>74</v>
      </c>
      <c r="BA313" t="s">
        <v>74</v>
      </c>
      <c r="BB313" t="s">
        <v>74</v>
      </c>
      <c r="BC313" t="s">
        <v>74</v>
      </c>
      <c r="BD313">
        <v>860</v>
      </c>
      <c r="BE313" t="s">
        <v>1508</v>
      </c>
      <c r="BF313" t="str">
        <f>HYPERLINK("http://dx.doi.org/10.3389/fonc.2019.00860","http://dx.doi.org/10.3389/fonc.2019.00860")</f>
        <v>http://dx.doi.org/10.3389/fonc.2019.00860</v>
      </c>
      <c r="BG313" t="s">
        <v>74</v>
      </c>
      <c r="BH313" t="s">
        <v>74</v>
      </c>
      <c r="BI313" t="s">
        <v>74</v>
      </c>
      <c r="BJ313" t="s">
        <v>146</v>
      </c>
      <c r="BK313" t="s">
        <v>112</v>
      </c>
      <c r="BL313" t="s">
        <v>146</v>
      </c>
      <c r="BM313" t="s">
        <v>74</v>
      </c>
      <c r="BN313">
        <v>31608222</v>
      </c>
      <c r="BO313" t="s">
        <v>74</v>
      </c>
      <c r="BP313" t="s">
        <v>74</v>
      </c>
      <c r="BQ313" t="s">
        <v>74</v>
      </c>
      <c r="BR313" t="s">
        <v>93</v>
      </c>
      <c r="BS313" t="s">
        <v>1509</v>
      </c>
      <c r="BT313" t="str">
        <f>HYPERLINK("https%3A%2F%2Fwww.webofscience.com%2Fwos%2Fwoscc%2Ffull-record%2FWOS:000486516900001","View Full Record in Web of Science")</f>
        <v>View Full Record in Web of Science</v>
      </c>
    </row>
    <row r="314" spans="1:72" x14ac:dyDescent="0.15">
      <c r="A314" t="s">
        <v>72</v>
      </c>
      <c r="B314" t="s">
        <v>4336</v>
      </c>
      <c r="C314" t="s">
        <v>74</v>
      </c>
      <c r="D314" t="s">
        <v>74</v>
      </c>
      <c r="E314" t="s">
        <v>74</v>
      </c>
      <c r="F314" t="s">
        <v>4337</v>
      </c>
      <c r="G314" t="s">
        <v>74</v>
      </c>
      <c r="H314" t="s">
        <v>74</v>
      </c>
      <c r="I314" t="s">
        <v>4338</v>
      </c>
      <c r="J314" t="s">
        <v>4339</v>
      </c>
      <c r="K314" t="s">
        <v>74</v>
      </c>
      <c r="L314" t="s">
        <v>74</v>
      </c>
      <c r="M314" t="s">
        <v>74</v>
      </c>
      <c r="N314" t="s">
        <v>78</v>
      </c>
      <c r="O314" t="s">
        <v>74</v>
      </c>
      <c r="P314" t="s">
        <v>74</v>
      </c>
      <c r="Q314" t="s">
        <v>74</v>
      </c>
      <c r="R314" t="s">
        <v>74</v>
      </c>
      <c r="S314" t="s">
        <v>74</v>
      </c>
      <c r="T314" t="s">
        <v>4340</v>
      </c>
      <c r="U314" t="s">
        <v>4341</v>
      </c>
      <c r="V314" t="s">
        <v>4342</v>
      </c>
      <c r="W314" t="s">
        <v>4343</v>
      </c>
      <c r="X314" t="s">
        <v>4344</v>
      </c>
      <c r="Y314" t="s">
        <v>4345</v>
      </c>
      <c r="Z314" t="s">
        <v>4346</v>
      </c>
      <c r="AA314" t="s">
        <v>4347</v>
      </c>
      <c r="AB314" t="s">
        <v>4348</v>
      </c>
      <c r="AC314" t="s">
        <v>74</v>
      </c>
      <c r="AD314" t="s">
        <v>74</v>
      </c>
      <c r="AE314" t="s">
        <v>74</v>
      </c>
      <c r="AF314" t="s">
        <v>74</v>
      </c>
      <c r="AG314">
        <v>26</v>
      </c>
      <c r="AH314">
        <v>17</v>
      </c>
      <c r="AI314">
        <v>17</v>
      </c>
      <c r="AJ314">
        <v>2</v>
      </c>
      <c r="AK314">
        <v>10</v>
      </c>
      <c r="AL314" t="s">
        <v>74</v>
      </c>
      <c r="AM314" t="s">
        <v>74</v>
      </c>
      <c r="AN314" t="s">
        <v>74</v>
      </c>
      <c r="AO314" t="s">
        <v>4349</v>
      </c>
      <c r="AP314" t="s">
        <v>4350</v>
      </c>
      <c r="AQ314" t="s">
        <v>74</v>
      </c>
      <c r="AR314" t="s">
        <v>74</v>
      </c>
      <c r="AS314" t="s">
        <v>74</v>
      </c>
      <c r="AT314" t="s">
        <v>743</v>
      </c>
      <c r="AU314">
        <v>2020</v>
      </c>
      <c r="AV314">
        <v>99</v>
      </c>
      <c r="AW314">
        <v>3</v>
      </c>
      <c r="AX314" t="s">
        <v>74</v>
      </c>
      <c r="AY314" t="s">
        <v>74</v>
      </c>
      <c r="AZ314" t="s">
        <v>74</v>
      </c>
      <c r="BA314" t="s">
        <v>74</v>
      </c>
      <c r="BB314">
        <v>459</v>
      </c>
      <c r="BC314">
        <v>475</v>
      </c>
      <c r="BD314" t="s">
        <v>74</v>
      </c>
      <c r="BE314" t="s">
        <v>4351</v>
      </c>
      <c r="BF314" t="str">
        <f>HYPERLINK("http://dx.doi.org/10.1007/s00277-019-03866-w","http://dx.doi.org/10.1007/s00277-019-03866-w")</f>
        <v>http://dx.doi.org/10.1007/s00277-019-03866-w</v>
      </c>
      <c r="BG314" t="s">
        <v>74</v>
      </c>
      <c r="BH314" t="s">
        <v>74</v>
      </c>
      <c r="BI314" t="s">
        <v>74</v>
      </c>
      <c r="BJ314" t="s">
        <v>1899</v>
      </c>
      <c r="BK314" t="s">
        <v>112</v>
      </c>
      <c r="BL314" t="s">
        <v>1899</v>
      </c>
      <c r="BM314" t="s">
        <v>74</v>
      </c>
      <c r="BN314">
        <v>31932899</v>
      </c>
      <c r="BO314" t="s">
        <v>74</v>
      </c>
      <c r="BP314" t="s">
        <v>74</v>
      </c>
      <c r="BQ314" t="s">
        <v>74</v>
      </c>
      <c r="BR314" t="s">
        <v>93</v>
      </c>
      <c r="BS314" t="s">
        <v>4352</v>
      </c>
      <c r="BT314" t="str">
        <f>HYPERLINK("https%3A%2F%2Fwww.webofscience.com%2Fwos%2Fwoscc%2Ffull-record%2FWOS:000518506700007","View Full Record in Web of Science")</f>
        <v>View Full Record in Web of Science</v>
      </c>
    </row>
    <row r="315" spans="1:72" x14ac:dyDescent="0.15">
      <c r="A315" t="s">
        <v>72</v>
      </c>
      <c r="B315" t="s">
        <v>4632</v>
      </c>
      <c r="C315" t="s">
        <v>74</v>
      </c>
      <c r="D315" t="s">
        <v>74</v>
      </c>
      <c r="E315" t="s">
        <v>74</v>
      </c>
      <c r="F315" t="s">
        <v>4633</v>
      </c>
      <c r="G315" t="s">
        <v>74</v>
      </c>
      <c r="H315" t="s">
        <v>74</v>
      </c>
      <c r="I315" t="s">
        <v>4634</v>
      </c>
      <c r="J315" t="s">
        <v>2094</v>
      </c>
      <c r="K315" t="s">
        <v>74</v>
      </c>
      <c r="L315" t="s">
        <v>74</v>
      </c>
      <c r="M315" t="s">
        <v>74</v>
      </c>
      <c r="N315" t="s">
        <v>78</v>
      </c>
      <c r="O315" t="s">
        <v>74</v>
      </c>
      <c r="P315" t="s">
        <v>74</v>
      </c>
      <c r="Q315" t="s">
        <v>74</v>
      </c>
      <c r="R315" t="s">
        <v>74</v>
      </c>
      <c r="S315" t="s">
        <v>74</v>
      </c>
      <c r="T315" t="s">
        <v>4635</v>
      </c>
      <c r="U315" t="s">
        <v>4636</v>
      </c>
      <c r="V315" t="s">
        <v>4637</v>
      </c>
      <c r="W315" t="s">
        <v>4638</v>
      </c>
      <c r="X315" t="s">
        <v>4639</v>
      </c>
      <c r="Y315" t="s">
        <v>4640</v>
      </c>
      <c r="Z315" t="s">
        <v>4641</v>
      </c>
      <c r="AA315" t="s">
        <v>4642</v>
      </c>
      <c r="AB315" t="s">
        <v>4643</v>
      </c>
      <c r="AC315" t="s">
        <v>74</v>
      </c>
      <c r="AD315" t="s">
        <v>74</v>
      </c>
      <c r="AE315" t="s">
        <v>74</v>
      </c>
      <c r="AF315" t="s">
        <v>74</v>
      </c>
      <c r="AG315">
        <v>54</v>
      </c>
      <c r="AH315">
        <v>17</v>
      </c>
      <c r="AI315">
        <v>17</v>
      </c>
      <c r="AJ315">
        <v>2</v>
      </c>
      <c r="AK315">
        <v>5</v>
      </c>
      <c r="AL315" t="s">
        <v>74</v>
      </c>
      <c r="AM315" t="s">
        <v>74</v>
      </c>
      <c r="AN315" t="s">
        <v>74</v>
      </c>
      <c r="AO315" t="s">
        <v>74</v>
      </c>
      <c r="AP315" t="s">
        <v>2103</v>
      </c>
      <c r="AQ315" t="s">
        <v>74</v>
      </c>
      <c r="AR315" t="s">
        <v>74</v>
      </c>
      <c r="AS315" t="s">
        <v>74</v>
      </c>
      <c r="AT315" t="s">
        <v>129</v>
      </c>
      <c r="AU315">
        <v>2020</v>
      </c>
      <c r="AV315">
        <v>9</v>
      </c>
      <c r="AW315">
        <v>4</v>
      </c>
      <c r="AX315" t="s">
        <v>74</v>
      </c>
      <c r="AY315" t="s">
        <v>74</v>
      </c>
      <c r="AZ315" t="s">
        <v>74</v>
      </c>
      <c r="BA315" t="s">
        <v>74</v>
      </c>
      <c r="BB315" t="s">
        <v>74</v>
      </c>
      <c r="BC315" t="s">
        <v>74</v>
      </c>
      <c r="BD315">
        <v>973</v>
      </c>
      <c r="BE315" t="s">
        <v>4644</v>
      </c>
      <c r="BF315" t="str">
        <f>HYPERLINK("http://dx.doi.org/10.3390/cells9040973","http://dx.doi.org/10.3390/cells9040973")</f>
        <v>http://dx.doi.org/10.3390/cells9040973</v>
      </c>
      <c r="BG315" t="s">
        <v>74</v>
      </c>
      <c r="BH315" t="s">
        <v>74</v>
      </c>
      <c r="BI315" t="s">
        <v>74</v>
      </c>
      <c r="BJ315" t="s">
        <v>419</v>
      </c>
      <c r="BK315" t="s">
        <v>112</v>
      </c>
      <c r="BL315" t="s">
        <v>419</v>
      </c>
      <c r="BM315" t="s">
        <v>74</v>
      </c>
      <c r="BN315">
        <v>32326435</v>
      </c>
      <c r="BO315" t="s">
        <v>74</v>
      </c>
      <c r="BP315" t="s">
        <v>74</v>
      </c>
      <c r="BQ315" t="s">
        <v>74</v>
      </c>
      <c r="BR315" t="s">
        <v>93</v>
      </c>
      <c r="BS315" t="s">
        <v>4645</v>
      </c>
      <c r="BT315" t="str">
        <f>HYPERLINK("https%3A%2F%2Fwww.webofscience.com%2Fwos%2Fwoscc%2Ffull-record%2FWOS:000535559500184","View Full Record in Web of Science")</f>
        <v>View Full Record in Web of Science</v>
      </c>
    </row>
    <row r="316" spans="1:72" x14ac:dyDescent="0.15">
      <c r="A316" t="s">
        <v>72</v>
      </c>
      <c r="B316" t="s">
        <v>4673</v>
      </c>
      <c r="C316" t="s">
        <v>74</v>
      </c>
      <c r="D316" t="s">
        <v>74</v>
      </c>
      <c r="E316" t="s">
        <v>74</v>
      </c>
      <c r="F316" t="s">
        <v>4674</v>
      </c>
      <c r="G316" t="s">
        <v>74</v>
      </c>
      <c r="H316" t="s">
        <v>74</v>
      </c>
      <c r="I316" t="s">
        <v>4675</v>
      </c>
      <c r="J316" t="s">
        <v>4676</v>
      </c>
      <c r="K316" t="s">
        <v>74</v>
      </c>
      <c r="L316" t="s">
        <v>74</v>
      </c>
      <c r="M316" t="s">
        <v>74</v>
      </c>
      <c r="N316" t="s">
        <v>78</v>
      </c>
      <c r="O316" t="s">
        <v>74</v>
      </c>
      <c r="P316" t="s">
        <v>74</v>
      </c>
      <c r="Q316" t="s">
        <v>74</v>
      </c>
      <c r="R316" t="s">
        <v>74</v>
      </c>
      <c r="S316" t="s">
        <v>74</v>
      </c>
      <c r="T316" t="s">
        <v>4677</v>
      </c>
      <c r="U316" t="s">
        <v>4678</v>
      </c>
      <c r="V316" t="s">
        <v>4679</v>
      </c>
      <c r="W316" t="s">
        <v>4680</v>
      </c>
      <c r="X316" t="s">
        <v>4681</v>
      </c>
      <c r="Y316" t="s">
        <v>4682</v>
      </c>
      <c r="Z316" t="s">
        <v>4683</v>
      </c>
      <c r="AA316" t="s">
        <v>4684</v>
      </c>
      <c r="AB316" t="s">
        <v>4685</v>
      </c>
      <c r="AC316" t="s">
        <v>74</v>
      </c>
      <c r="AD316" t="s">
        <v>74</v>
      </c>
      <c r="AE316" t="s">
        <v>74</v>
      </c>
      <c r="AF316" t="s">
        <v>74</v>
      </c>
      <c r="AG316">
        <v>57</v>
      </c>
      <c r="AH316">
        <v>17</v>
      </c>
      <c r="AI316">
        <v>17</v>
      </c>
      <c r="AJ316">
        <v>1</v>
      </c>
      <c r="AK316">
        <v>25</v>
      </c>
      <c r="AL316" t="s">
        <v>74</v>
      </c>
      <c r="AM316" t="s">
        <v>74</v>
      </c>
      <c r="AN316" t="s">
        <v>74</v>
      </c>
      <c r="AO316" t="s">
        <v>4686</v>
      </c>
      <c r="AP316" t="s">
        <v>4687</v>
      </c>
      <c r="AQ316" t="s">
        <v>74</v>
      </c>
      <c r="AR316" t="s">
        <v>74</v>
      </c>
      <c r="AS316" t="s">
        <v>74</v>
      </c>
      <c r="AT316" t="s">
        <v>503</v>
      </c>
      <c r="AU316">
        <v>2019</v>
      </c>
      <c r="AV316">
        <v>317</v>
      </c>
      <c r="AW316">
        <v>1</v>
      </c>
      <c r="AX316" t="s">
        <v>74</v>
      </c>
      <c r="AY316" t="s">
        <v>74</v>
      </c>
      <c r="AZ316" t="s">
        <v>74</v>
      </c>
      <c r="BA316" t="s">
        <v>74</v>
      </c>
      <c r="BB316" t="s">
        <v>4688</v>
      </c>
      <c r="BC316" t="s">
        <v>4689</v>
      </c>
      <c r="BD316" t="s">
        <v>74</v>
      </c>
      <c r="BE316" t="s">
        <v>4690</v>
      </c>
      <c r="BF316" t="str">
        <f>HYPERLINK("http://dx.doi.org/10.1152/ajpcell.00418.2018","http://dx.doi.org/10.1152/ajpcell.00418.2018")</f>
        <v>http://dx.doi.org/10.1152/ajpcell.00418.2018</v>
      </c>
      <c r="BG316" t="s">
        <v>74</v>
      </c>
      <c r="BH316" t="s">
        <v>74</v>
      </c>
      <c r="BI316" t="s">
        <v>74</v>
      </c>
      <c r="BJ316" t="s">
        <v>4691</v>
      </c>
      <c r="BK316" t="s">
        <v>112</v>
      </c>
      <c r="BL316" t="s">
        <v>4691</v>
      </c>
      <c r="BM316" t="s">
        <v>74</v>
      </c>
      <c r="BN316">
        <v>31017799</v>
      </c>
      <c r="BO316" t="s">
        <v>74</v>
      </c>
      <c r="BP316" t="s">
        <v>74</v>
      </c>
      <c r="BQ316" t="s">
        <v>74</v>
      </c>
      <c r="BR316" t="s">
        <v>93</v>
      </c>
      <c r="BS316" t="s">
        <v>4692</v>
      </c>
      <c r="BT316" t="str">
        <f>HYPERLINK("https%3A%2F%2Fwww.webofscience.com%2Fwos%2Fwoscc%2Ffull-record%2FWOS:000472500500009","View Full Record in Web of Science")</f>
        <v>View Full Record in Web of Science</v>
      </c>
    </row>
    <row r="317" spans="1:72" x14ac:dyDescent="0.15">
      <c r="A317" t="s">
        <v>72</v>
      </c>
      <c r="B317" t="s">
        <v>5616</v>
      </c>
      <c r="C317" t="s">
        <v>74</v>
      </c>
      <c r="D317" t="s">
        <v>74</v>
      </c>
      <c r="E317" t="s">
        <v>74</v>
      </c>
      <c r="F317" t="s">
        <v>5617</v>
      </c>
      <c r="G317" t="s">
        <v>74</v>
      </c>
      <c r="H317" t="s">
        <v>74</v>
      </c>
      <c r="I317" t="s">
        <v>5618</v>
      </c>
      <c r="J317" t="s">
        <v>5356</v>
      </c>
      <c r="K317" t="s">
        <v>74</v>
      </c>
      <c r="L317" t="s">
        <v>74</v>
      </c>
      <c r="M317" t="s">
        <v>74</v>
      </c>
      <c r="N317" t="s">
        <v>78</v>
      </c>
      <c r="O317" t="s">
        <v>74</v>
      </c>
      <c r="P317" t="s">
        <v>74</v>
      </c>
      <c r="Q317" t="s">
        <v>74</v>
      </c>
      <c r="R317" t="s">
        <v>74</v>
      </c>
      <c r="S317" t="s">
        <v>74</v>
      </c>
      <c r="T317" t="s">
        <v>74</v>
      </c>
      <c r="U317" t="s">
        <v>5619</v>
      </c>
      <c r="V317" t="s">
        <v>5620</v>
      </c>
      <c r="W317" t="s">
        <v>5621</v>
      </c>
      <c r="X317" t="s">
        <v>5622</v>
      </c>
      <c r="Y317" t="s">
        <v>5623</v>
      </c>
      <c r="Z317" t="s">
        <v>5624</v>
      </c>
      <c r="AA317" t="s">
        <v>74</v>
      </c>
      <c r="AB317" t="s">
        <v>5625</v>
      </c>
      <c r="AC317" t="s">
        <v>74</v>
      </c>
      <c r="AD317" t="s">
        <v>74</v>
      </c>
      <c r="AE317" t="s">
        <v>74</v>
      </c>
      <c r="AF317" t="s">
        <v>74</v>
      </c>
      <c r="AG317">
        <v>55</v>
      </c>
      <c r="AH317">
        <v>17</v>
      </c>
      <c r="AI317">
        <v>22</v>
      </c>
      <c r="AJ317">
        <v>1</v>
      </c>
      <c r="AK317">
        <v>3</v>
      </c>
      <c r="AL317" t="s">
        <v>74</v>
      </c>
      <c r="AM317" t="s">
        <v>74</v>
      </c>
      <c r="AN317" t="s">
        <v>74</v>
      </c>
      <c r="AO317" t="s">
        <v>5365</v>
      </c>
      <c r="AP317" t="s">
        <v>74</v>
      </c>
      <c r="AQ317" t="s">
        <v>74</v>
      </c>
      <c r="AR317" t="s">
        <v>74</v>
      </c>
      <c r="AS317" t="s">
        <v>74</v>
      </c>
      <c r="AT317" t="s">
        <v>88</v>
      </c>
      <c r="AU317">
        <v>2016</v>
      </c>
      <c r="AV317">
        <v>7</v>
      </c>
      <c r="AW317" t="s">
        <v>74</v>
      </c>
      <c r="AX317" t="s">
        <v>74</v>
      </c>
      <c r="AY317" t="s">
        <v>74</v>
      </c>
      <c r="AZ317" t="s">
        <v>74</v>
      </c>
      <c r="BA317" t="s">
        <v>74</v>
      </c>
      <c r="BB317" t="s">
        <v>74</v>
      </c>
      <c r="BC317" t="s">
        <v>74</v>
      </c>
      <c r="BD317" t="s">
        <v>5626</v>
      </c>
      <c r="BE317" t="s">
        <v>5627</v>
      </c>
      <c r="BF317" t="str">
        <f>HYPERLINK("http://dx.doi.org/10.1038/cddis.2016.186","http://dx.doi.org/10.1038/cddis.2016.186")</f>
        <v>http://dx.doi.org/10.1038/cddis.2016.186</v>
      </c>
      <c r="BG317" t="s">
        <v>74</v>
      </c>
      <c r="BH317" t="s">
        <v>74</v>
      </c>
      <c r="BI317" t="s">
        <v>74</v>
      </c>
      <c r="BJ317" t="s">
        <v>419</v>
      </c>
      <c r="BK317" t="s">
        <v>112</v>
      </c>
      <c r="BL317" t="s">
        <v>419</v>
      </c>
      <c r="BM317" t="s">
        <v>74</v>
      </c>
      <c r="BN317">
        <v>27362801</v>
      </c>
      <c r="BO317" t="s">
        <v>74</v>
      </c>
      <c r="BP317" t="s">
        <v>74</v>
      </c>
      <c r="BQ317" t="s">
        <v>74</v>
      </c>
      <c r="BR317" t="s">
        <v>93</v>
      </c>
      <c r="BS317" t="s">
        <v>5628</v>
      </c>
      <c r="BT317" t="str">
        <f>HYPERLINK("https%3A%2F%2Fwww.webofscience.com%2Fwos%2Fwoscc%2Ffull-record%2FWOS:000391813800021","View Full Record in Web of Science")</f>
        <v>View Full Record in Web of Science</v>
      </c>
    </row>
    <row r="318" spans="1:72" x14ac:dyDescent="0.15">
      <c r="A318" t="s">
        <v>72</v>
      </c>
      <c r="B318" t="s">
        <v>5954</v>
      </c>
      <c r="C318" t="s">
        <v>74</v>
      </c>
      <c r="D318" t="s">
        <v>74</v>
      </c>
      <c r="E318" t="s">
        <v>74</v>
      </c>
      <c r="F318" t="s">
        <v>5955</v>
      </c>
      <c r="G318" t="s">
        <v>74</v>
      </c>
      <c r="H318" t="s">
        <v>74</v>
      </c>
      <c r="I318" t="s">
        <v>5956</v>
      </c>
      <c r="J318" t="s">
        <v>5957</v>
      </c>
      <c r="K318" t="s">
        <v>74</v>
      </c>
      <c r="L318" t="s">
        <v>74</v>
      </c>
      <c r="M318" t="s">
        <v>74</v>
      </c>
      <c r="N318" t="s">
        <v>78</v>
      </c>
      <c r="O318" t="s">
        <v>74</v>
      </c>
      <c r="P318" t="s">
        <v>74</v>
      </c>
      <c r="Q318" t="s">
        <v>74</v>
      </c>
      <c r="R318" t="s">
        <v>74</v>
      </c>
      <c r="S318" t="s">
        <v>74</v>
      </c>
      <c r="T318" t="s">
        <v>5958</v>
      </c>
      <c r="U318" t="s">
        <v>5959</v>
      </c>
      <c r="V318" t="s">
        <v>5960</v>
      </c>
      <c r="W318" t="s">
        <v>5961</v>
      </c>
      <c r="X318" t="s">
        <v>5962</v>
      </c>
      <c r="Y318" t="s">
        <v>5963</v>
      </c>
      <c r="Z318" t="s">
        <v>1726</v>
      </c>
      <c r="AA318" t="s">
        <v>74</v>
      </c>
      <c r="AB318" t="s">
        <v>74</v>
      </c>
      <c r="AC318" t="s">
        <v>74</v>
      </c>
      <c r="AD318" t="s">
        <v>74</v>
      </c>
      <c r="AE318" t="s">
        <v>74</v>
      </c>
      <c r="AF318" t="s">
        <v>74</v>
      </c>
      <c r="AG318">
        <v>34</v>
      </c>
      <c r="AH318">
        <v>17</v>
      </c>
      <c r="AI318">
        <v>19</v>
      </c>
      <c r="AJ318">
        <v>0</v>
      </c>
      <c r="AK318">
        <v>23</v>
      </c>
      <c r="AL318" t="s">
        <v>74</v>
      </c>
      <c r="AM318" t="s">
        <v>74</v>
      </c>
      <c r="AN318" t="s">
        <v>74</v>
      </c>
      <c r="AO318" t="s">
        <v>5964</v>
      </c>
      <c r="AP318" t="s">
        <v>5965</v>
      </c>
      <c r="AQ318" t="s">
        <v>74</v>
      </c>
      <c r="AR318" t="s">
        <v>74</v>
      </c>
      <c r="AS318" t="s">
        <v>74</v>
      </c>
      <c r="AT318" t="s">
        <v>129</v>
      </c>
      <c r="AU318">
        <v>2017</v>
      </c>
      <c r="AV318">
        <v>409</v>
      </c>
      <c r="AW318">
        <v>10</v>
      </c>
      <c r="AX318" t="s">
        <v>74</v>
      </c>
      <c r="AY318" t="s">
        <v>74</v>
      </c>
      <c r="AZ318" t="s">
        <v>74</v>
      </c>
      <c r="BA318" t="s">
        <v>74</v>
      </c>
      <c r="BB318">
        <v>2727</v>
      </c>
      <c r="BC318">
        <v>2735</v>
      </c>
      <c r="BD318" t="s">
        <v>74</v>
      </c>
      <c r="BE318" t="s">
        <v>5966</v>
      </c>
      <c r="BF318" t="str">
        <f>HYPERLINK("http://dx.doi.org/10.1007/s00216-017-0217-x","http://dx.doi.org/10.1007/s00216-017-0217-x")</f>
        <v>http://dx.doi.org/10.1007/s00216-017-0217-x</v>
      </c>
      <c r="BG318" t="s">
        <v>74</v>
      </c>
      <c r="BH318" t="s">
        <v>74</v>
      </c>
      <c r="BI318" t="s">
        <v>74</v>
      </c>
      <c r="BJ318" t="s">
        <v>2973</v>
      </c>
      <c r="BK318" t="s">
        <v>112</v>
      </c>
      <c r="BL318" t="s">
        <v>681</v>
      </c>
      <c r="BM318" t="s">
        <v>74</v>
      </c>
      <c r="BN318">
        <v>28154880</v>
      </c>
      <c r="BO318" t="s">
        <v>74</v>
      </c>
      <c r="BP318" t="s">
        <v>74</v>
      </c>
      <c r="BQ318" t="s">
        <v>74</v>
      </c>
      <c r="BR318" t="s">
        <v>93</v>
      </c>
      <c r="BS318" t="s">
        <v>5967</v>
      </c>
      <c r="BT318" t="str">
        <f>HYPERLINK("https%3A%2F%2Fwww.webofscience.com%2Fwos%2Fwoscc%2Ffull-record%2FWOS:000396783000023","View Full Record in Web of Science")</f>
        <v>View Full Record in Web of Science</v>
      </c>
    </row>
    <row r="319" spans="1:72" x14ac:dyDescent="0.15">
      <c r="A319" t="s">
        <v>72</v>
      </c>
      <c r="B319" t="s">
        <v>7284</v>
      </c>
      <c r="C319" t="s">
        <v>74</v>
      </c>
      <c r="D319" t="s">
        <v>74</v>
      </c>
      <c r="E319" t="s">
        <v>74</v>
      </c>
      <c r="F319" t="s">
        <v>7285</v>
      </c>
      <c r="G319" t="s">
        <v>74</v>
      </c>
      <c r="H319" t="s">
        <v>74</v>
      </c>
      <c r="I319" t="s">
        <v>7286</v>
      </c>
      <c r="J319" t="s">
        <v>532</v>
      </c>
      <c r="K319" t="s">
        <v>74</v>
      </c>
      <c r="L319" t="s">
        <v>74</v>
      </c>
      <c r="M319" t="s">
        <v>74</v>
      </c>
      <c r="N319" t="s">
        <v>78</v>
      </c>
      <c r="O319" t="s">
        <v>74</v>
      </c>
      <c r="P319" t="s">
        <v>74</v>
      </c>
      <c r="Q319" t="s">
        <v>74</v>
      </c>
      <c r="R319" t="s">
        <v>74</v>
      </c>
      <c r="S319" t="s">
        <v>74</v>
      </c>
      <c r="T319" t="s">
        <v>7287</v>
      </c>
      <c r="U319" t="s">
        <v>7288</v>
      </c>
      <c r="V319" t="s">
        <v>7289</v>
      </c>
      <c r="W319" t="s">
        <v>7290</v>
      </c>
      <c r="X319" t="s">
        <v>7291</v>
      </c>
      <c r="Y319" t="s">
        <v>7292</v>
      </c>
      <c r="Z319" t="s">
        <v>7293</v>
      </c>
      <c r="AA319" t="s">
        <v>74</v>
      </c>
      <c r="AB319" t="s">
        <v>7294</v>
      </c>
      <c r="AC319" t="s">
        <v>74</v>
      </c>
      <c r="AD319" t="s">
        <v>74</v>
      </c>
      <c r="AE319" t="s">
        <v>74</v>
      </c>
      <c r="AF319" t="s">
        <v>74</v>
      </c>
      <c r="AG319">
        <v>14</v>
      </c>
      <c r="AH319">
        <v>17</v>
      </c>
      <c r="AI319">
        <v>17</v>
      </c>
      <c r="AJ319">
        <v>6</v>
      </c>
      <c r="AK319">
        <v>81</v>
      </c>
      <c r="AL319" t="s">
        <v>74</v>
      </c>
      <c r="AM319" t="s">
        <v>74</v>
      </c>
      <c r="AN319" t="s">
        <v>74</v>
      </c>
      <c r="AO319" t="s">
        <v>542</v>
      </c>
      <c r="AP319" t="s">
        <v>74</v>
      </c>
      <c r="AQ319" t="s">
        <v>74</v>
      </c>
      <c r="AR319" t="s">
        <v>74</v>
      </c>
      <c r="AS319" t="s">
        <v>74</v>
      </c>
      <c r="AT319" t="s">
        <v>108</v>
      </c>
      <c r="AU319">
        <v>2015</v>
      </c>
      <c r="AV319" t="s">
        <v>74</v>
      </c>
      <c r="AW319">
        <v>95</v>
      </c>
      <c r="AX319" t="s">
        <v>74</v>
      </c>
      <c r="AY319" t="s">
        <v>74</v>
      </c>
      <c r="AZ319" t="s">
        <v>74</v>
      </c>
      <c r="BA319" t="s">
        <v>74</v>
      </c>
      <c r="BB319" t="s">
        <v>74</v>
      </c>
      <c r="BC319" t="s">
        <v>74</v>
      </c>
      <c r="BD319" t="s">
        <v>7295</v>
      </c>
      <c r="BE319" t="s">
        <v>7296</v>
      </c>
      <c r="BF319" t="str">
        <f>HYPERLINK("http://dx.doi.org/10.3791/52439","http://dx.doi.org/10.3791/52439")</f>
        <v>http://dx.doi.org/10.3791/52439</v>
      </c>
      <c r="BG319" t="s">
        <v>74</v>
      </c>
      <c r="BH319" t="s">
        <v>74</v>
      </c>
      <c r="BI319" t="s">
        <v>74</v>
      </c>
      <c r="BJ319" t="s">
        <v>545</v>
      </c>
      <c r="BK319" t="s">
        <v>112</v>
      </c>
      <c r="BL319" t="s">
        <v>546</v>
      </c>
      <c r="BM319" t="s">
        <v>74</v>
      </c>
      <c r="BN319">
        <v>25650727</v>
      </c>
      <c r="BO319" t="s">
        <v>74</v>
      </c>
      <c r="BP319" t="s">
        <v>74</v>
      </c>
      <c r="BQ319" t="s">
        <v>74</v>
      </c>
      <c r="BR319" t="s">
        <v>93</v>
      </c>
      <c r="BS319" t="s">
        <v>7297</v>
      </c>
      <c r="BT319" t="str">
        <f>HYPERLINK("https%3A%2F%2Fwww.webofscience.com%2Fwos%2Fwoscc%2Ffull-record%2FWOS:000361532900067","View Full Record in Web of Science")</f>
        <v>View Full Record in Web of Science</v>
      </c>
    </row>
    <row r="320" spans="1:72" x14ac:dyDescent="0.15">
      <c r="A320" t="s">
        <v>72</v>
      </c>
      <c r="B320" t="s">
        <v>7696</v>
      </c>
      <c r="C320" t="s">
        <v>74</v>
      </c>
      <c r="D320" t="s">
        <v>74</v>
      </c>
      <c r="E320" t="s">
        <v>74</v>
      </c>
      <c r="F320" t="s">
        <v>7697</v>
      </c>
      <c r="G320" t="s">
        <v>74</v>
      </c>
      <c r="H320" t="s">
        <v>74</v>
      </c>
      <c r="I320" t="s">
        <v>7698</v>
      </c>
      <c r="J320" t="s">
        <v>7699</v>
      </c>
      <c r="K320" t="s">
        <v>74</v>
      </c>
      <c r="L320" t="s">
        <v>74</v>
      </c>
      <c r="M320" t="s">
        <v>74</v>
      </c>
      <c r="N320" t="s">
        <v>78</v>
      </c>
      <c r="O320" t="s">
        <v>74</v>
      </c>
      <c r="P320" t="s">
        <v>74</v>
      </c>
      <c r="Q320" t="s">
        <v>74</v>
      </c>
      <c r="R320" t="s">
        <v>74</v>
      </c>
      <c r="S320" t="s">
        <v>74</v>
      </c>
      <c r="T320" t="s">
        <v>7700</v>
      </c>
      <c r="U320" t="s">
        <v>7701</v>
      </c>
      <c r="V320" t="s">
        <v>7702</v>
      </c>
      <c r="W320" t="s">
        <v>7703</v>
      </c>
      <c r="X320" t="s">
        <v>7704</v>
      </c>
      <c r="Y320" t="s">
        <v>7705</v>
      </c>
      <c r="Z320" t="s">
        <v>7706</v>
      </c>
      <c r="AA320" t="s">
        <v>7707</v>
      </c>
      <c r="AB320" t="s">
        <v>7708</v>
      </c>
      <c r="AC320" t="s">
        <v>74</v>
      </c>
      <c r="AD320" t="s">
        <v>74</v>
      </c>
      <c r="AE320" t="s">
        <v>74</v>
      </c>
      <c r="AF320" t="s">
        <v>74</v>
      </c>
      <c r="AG320">
        <v>40</v>
      </c>
      <c r="AH320">
        <v>17</v>
      </c>
      <c r="AI320">
        <v>20</v>
      </c>
      <c r="AJ320">
        <v>0</v>
      </c>
      <c r="AK320">
        <v>4</v>
      </c>
      <c r="AL320" t="s">
        <v>74</v>
      </c>
      <c r="AM320" t="s">
        <v>74</v>
      </c>
      <c r="AN320" t="s">
        <v>74</v>
      </c>
      <c r="AO320" t="s">
        <v>7709</v>
      </c>
      <c r="AP320" t="s">
        <v>7710</v>
      </c>
      <c r="AQ320" t="s">
        <v>74</v>
      </c>
      <c r="AR320" t="s">
        <v>74</v>
      </c>
      <c r="AS320" t="s">
        <v>74</v>
      </c>
      <c r="AT320" t="s">
        <v>7711</v>
      </c>
      <c r="AU320">
        <v>2016</v>
      </c>
      <c r="AV320">
        <v>18</v>
      </c>
      <c r="AW320" t="s">
        <v>74</v>
      </c>
      <c r="AX320" t="s">
        <v>74</v>
      </c>
      <c r="AY320" t="s">
        <v>74</v>
      </c>
      <c r="AZ320" t="s">
        <v>74</v>
      </c>
      <c r="BA320" t="s">
        <v>74</v>
      </c>
      <c r="BB320" t="s">
        <v>74</v>
      </c>
      <c r="BC320" t="s">
        <v>74</v>
      </c>
      <c r="BD320">
        <v>87</v>
      </c>
      <c r="BE320" t="s">
        <v>7712</v>
      </c>
      <c r="BF320" t="str">
        <f>HYPERLINK("http://dx.doi.org/10.1186/s13075-016-0984-3","http://dx.doi.org/10.1186/s13075-016-0984-3")</f>
        <v>http://dx.doi.org/10.1186/s13075-016-0984-3</v>
      </c>
      <c r="BG320" t="s">
        <v>74</v>
      </c>
      <c r="BH320" t="s">
        <v>74</v>
      </c>
      <c r="BI320" t="s">
        <v>74</v>
      </c>
      <c r="BJ320" t="s">
        <v>5774</v>
      </c>
      <c r="BK320" t="s">
        <v>112</v>
      </c>
      <c r="BL320" t="s">
        <v>5774</v>
      </c>
      <c r="BM320" t="s">
        <v>74</v>
      </c>
      <c r="BN320">
        <v>27071670</v>
      </c>
      <c r="BO320" t="s">
        <v>74</v>
      </c>
      <c r="BP320" t="s">
        <v>74</v>
      </c>
      <c r="BQ320" t="s">
        <v>74</v>
      </c>
      <c r="BR320" t="s">
        <v>93</v>
      </c>
      <c r="BS320" t="s">
        <v>7713</v>
      </c>
      <c r="BT320" t="str">
        <f>HYPERLINK("https%3A%2F%2Fwww.webofscience.com%2Fwos%2Fwoscc%2Ffull-record%2FWOS:000374731800002","View Full Record in Web of Science")</f>
        <v>View Full Record in Web of Science</v>
      </c>
    </row>
    <row r="321" spans="1:72" x14ac:dyDescent="0.15">
      <c r="A321" t="s">
        <v>72</v>
      </c>
      <c r="B321" t="s">
        <v>8425</v>
      </c>
      <c r="C321" t="s">
        <v>74</v>
      </c>
      <c r="D321" t="s">
        <v>74</v>
      </c>
      <c r="E321" t="s">
        <v>74</v>
      </c>
      <c r="F321" t="s">
        <v>8425</v>
      </c>
      <c r="G321" t="s">
        <v>74</v>
      </c>
      <c r="H321" t="s">
        <v>74</v>
      </c>
      <c r="I321" t="s">
        <v>8426</v>
      </c>
      <c r="J321" t="s">
        <v>8427</v>
      </c>
      <c r="K321" t="s">
        <v>74</v>
      </c>
      <c r="L321" t="s">
        <v>74</v>
      </c>
      <c r="M321" t="s">
        <v>74</v>
      </c>
      <c r="N321" t="s">
        <v>78</v>
      </c>
      <c r="O321" t="s">
        <v>74</v>
      </c>
      <c r="P321" t="s">
        <v>74</v>
      </c>
      <c r="Q321" t="s">
        <v>74</v>
      </c>
      <c r="R321" t="s">
        <v>74</v>
      </c>
      <c r="S321" t="s">
        <v>74</v>
      </c>
      <c r="T321" t="s">
        <v>8428</v>
      </c>
      <c r="U321" t="s">
        <v>8429</v>
      </c>
      <c r="V321" t="s">
        <v>8430</v>
      </c>
      <c r="W321" t="s">
        <v>8431</v>
      </c>
      <c r="X321" t="s">
        <v>8432</v>
      </c>
      <c r="Y321" t="s">
        <v>8433</v>
      </c>
      <c r="Z321" t="s">
        <v>74</v>
      </c>
      <c r="AA321" t="s">
        <v>74</v>
      </c>
      <c r="AB321" t="s">
        <v>74</v>
      </c>
      <c r="AC321" t="s">
        <v>74</v>
      </c>
      <c r="AD321" t="s">
        <v>74</v>
      </c>
      <c r="AE321" t="s">
        <v>74</v>
      </c>
      <c r="AF321" t="s">
        <v>74</v>
      </c>
      <c r="AG321">
        <v>39</v>
      </c>
      <c r="AH321">
        <v>17</v>
      </c>
      <c r="AI321">
        <v>20</v>
      </c>
      <c r="AJ321">
        <v>0</v>
      </c>
      <c r="AK321">
        <v>1</v>
      </c>
      <c r="AL321" t="s">
        <v>74</v>
      </c>
      <c r="AM321" t="s">
        <v>74</v>
      </c>
      <c r="AN321" t="s">
        <v>74</v>
      </c>
      <c r="AO321" t="s">
        <v>8434</v>
      </c>
      <c r="AP321" t="s">
        <v>8435</v>
      </c>
      <c r="AQ321" t="s">
        <v>74</v>
      </c>
      <c r="AR321" t="s">
        <v>74</v>
      </c>
      <c r="AS321" t="s">
        <v>74</v>
      </c>
      <c r="AT321" t="s">
        <v>818</v>
      </c>
      <c r="AU321">
        <v>2005</v>
      </c>
      <c r="AV321">
        <v>12</v>
      </c>
      <c r="AW321">
        <v>16</v>
      </c>
      <c r="AX321" t="s">
        <v>74</v>
      </c>
      <c r="AY321" t="s">
        <v>74</v>
      </c>
      <c r="AZ321" t="s">
        <v>74</v>
      </c>
      <c r="BA321" t="s">
        <v>74</v>
      </c>
      <c r="BB321">
        <v>1275</v>
      </c>
      <c r="BC321">
        <v>1282</v>
      </c>
      <c r="BD321" t="s">
        <v>74</v>
      </c>
      <c r="BE321" t="s">
        <v>8436</v>
      </c>
      <c r="BF321" t="str">
        <f>HYPERLINK("http://dx.doi.org/10.1038/sj.gt.3302548","http://dx.doi.org/10.1038/sj.gt.3302548")</f>
        <v>http://dx.doi.org/10.1038/sj.gt.3302548</v>
      </c>
      <c r="BG321" t="s">
        <v>74</v>
      </c>
      <c r="BH321" t="s">
        <v>74</v>
      </c>
      <c r="BI321" t="s">
        <v>74</v>
      </c>
      <c r="BJ321" t="s">
        <v>8437</v>
      </c>
      <c r="BK321" t="s">
        <v>112</v>
      </c>
      <c r="BL321" t="s">
        <v>8438</v>
      </c>
      <c r="BM321" t="s">
        <v>74</v>
      </c>
      <c r="BN321">
        <v>15889135</v>
      </c>
      <c r="BO321" t="s">
        <v>74</v>
      </c>
      <c r="BP321" t="s">
        <v>74</v>
      </c>
      <c r="BQ321" t="s">
        <v>74</v>
      </c>
      <c r="BR321" t="s">
        <v>93</v>
      </c>
      <c r="BS321" t="s">
        <v>8439</v>
      </c>
      <c r="BT321" t="str">
        <f>HYPERLINK("https%3A%2F%2Fwww.webofscience.com%2Fwos%2Fwoscc%2Ffull-record%2FWOS:000231019700006","View Full Record in Web of Science")</f>
        <v>View Full Record in Web of Science</v>
      </c>
    </row>
    <row r="322" spans="1:72" x14ac:dyDescent="0.15">
      <c r="A322" t="s">
        <v>72</v>
      </c>
      <c r="B322" t="s">
        <v>9755</v>
      </c>
      <c r="C322" t="s">
        <v>74</v>
      </c>
      <c r="D322" t="s">
        <v>74</v>
      </c>
      <c r="E322" t="s">
        <v>74</v>
      </c>
      <c r="F322" t="s">
        <v>9756</v>
      </c>
      <c r="G322" t="s">
        <v>74</v>
      </c>
      <c r="H322" t="s">
        <v>74</v>
      </c>
      <c r="I322" t="s">
        <v>9757</v>
      </c>
      <c r="J322" t="s">
        <v>9758</v>
      </c>
      <c r="K322" t="s">
        <v>74</v>
      </c>
      <c r="L322" t="s">
        <v>74</v>
      </c>
      <c r="M322" t="s">
        <v>74</v>
      </c>
      <c r="N322" t="s">
        <v>78</v>
      </c>
      <c r="O322" t="s">
        <v>74</v>
      </c>
      <c r="P322" t="s">
        <v>74</v>
      </c>
      <c r="Q322" t="s">
        <v>74</v>
      </c>
      <c r="R322" t="s">
        <v>74</v>
      </c>
      <c r="S322" t="s">
        <v>74</v>
      </c>
      <c r="T322" t="s">
        <v>74</v>
      </c>
      <c r="U322" t="s">
        <v>9759</v>
      </c>
      <c r="V322" t="s">
        <v>9760</v>
      </c>
      <c r="W322" t="s">
        <v>9761</v>
      </c>
      <c r="X322" t="s">
        <v>9762</v>
      </c>
      <c r="Y322" t="s">
        <v>9763</v>
      </c>
      <c r="Z322" t="s">
        <v>9764</v>
      </c>
      <c r="AA322" t="s">
        <v>74</v>
      </c>
      <c r="AB322" t="s">
        <v>74</v>
      </c>
      <c r="AC322" t="s">
        <v>74</v>
      </c>
      <c r="AD322" t="s">
        <v>74</v>
      </c>
      <c r="AE322" t="s">
        <v>74</v>
      </c>
      <c r="AF322" t="s">
        <v>74</v>
      </c>
      <c r="AG322">
        <v>49</v>
      </c>
      <c r="AH322">
        <v>17</v>
      </c>
      <c r="AI322">
        <v>17</v>
      </c>
      <c r="AJ322">
        <v>5</v>
      </c>
      <c r="AK322">
        <v>19</v>
      </c>
      <c r="AL322" t="s">
        <v>74</v>
      </c>
      <c r="AM322" t="s">
        <v>74</v>
      </c>
      <c r="AN322" t="s">
        <v>74</v>
      </c>
      <c r="AO322" t="s">
        <v>9765</v>
      </c>
      <c r="AP322" t="s">
        <v>9766</v>
      </c>
      <c r="AQ322" t="s">
        <v>74</v>
      </c>
      <c r="AR322" t="s">
        <v>74</v>
      </c>
      <c r="AS322" t="s">
        <v>74</v>
      </c>
      <c r="AT322" t="s">
        <v>640</v>
      </c>
      <c r="AU322">
        <v>2021</v>
      </c>
      <c r="AV322">
        <v>28</v>
      </c>
      <c r="AW322">
        <v>2</v>
      </c>
      <c r="AX322" t="s">
        <v>74</v>
      </c>
      <c r="AY322" t="s">
        <v>74</v>
      </c>
      <c r="AZ322" t="s">
        <v>74</v>
      </c>
      <c r="BA322" t="s">
        <v>74</v>
      </c>
      <c r="BB322">
        <v>715</v>
      </c>
      <c r="BC322">
        <v>729</v>
      </c>
      <c r="BD322" t="s">
        <v>74</v>
      </c>
      <c r="BE322" t="s">
        <v>9767</v>
      </c>
      <c r="BF322" t="str">
        <f>HYPERLINK("http://dx.doi.org/10.1038/s41418-020-00618-6","http://dx.doi.org/10.1038/s41418-020-00618-6")</f>
        <v>http://dx.doi.org/10.1038/s41418-020-00618-6</v>
      </c>
      <c r="BG322" t="s">
        <v>74</v>
      </c>
      <c r="BH322" t="s">
        <v>3062</v>
      </c>
      <c r="BI322" t="s">
        <v>74</v>
      </c>
      <c r="BJ322" t="s">
        <v>1493</v>
      </c>
      <c r="BK322" t="s">
        <v>112</v>
      </c>
      <c r="BL322" t="s">
        <v>1493</v>
      </c>
      <c r="BM322" t="s">
        <v>74</v>
      </c>
      <c r="BN322">
        <v>32929219</v>
      </c>
      <c r="BO322" t="s">
        <v>74</v>
      </c>
      <c r="BP322" t="s">
        <v>74</v>
      </c>
      <c r="BQ322" t="s">
        <v>74</v>
      </c>
      <c r="BR322" t="s">
        <v>93</v>
      </c>
      <c r="BS322" t="s">
        <v>9768</v>
      </c>
      <c r="BT322" t="str">
        <f>HYPERLINK("https%3A%2F%2Fwww.webofscience.com%2Fwos%2Fwoscc%2Ffull-record%2FWOS:000569296600002","View Full Record in Web of Science")</f>
        <v>View Full Record in Web of Science</v>
      </c>
    </row>
    <row r="323" spans="1:72" x14ac:dyDescent="0.15">
      <c r="A323" t="s">
        <v>72</v>
      </c>
      <c r="B323" t="s">
        <v>10305</v>
      </c>
      <c r="C323" t="s">
        <v>74</v>
      </c>
      <c r="D323" t="s">
        <v>74</v>
      </c>
      <c r="E323" t="s">
        <v>74</v>
      </c>
      <c r="F323" t="s">
        <v>10306</v>
      </c>
      <c r="G323" t="s">
        <v>74</v>
      </c>
      <c r="H323" t="s">
        <v>74</v>
      </c>
      <c r="I323" t="s">
        <v>10307</v>
      </c>
      <c r="J323" t="s">
        <v>151</v>
      </c>
      <c r="K323" t="s">
        <v>74</v>
      </c>
      <c r="L323" t="s">
        <v>74</v>
      </c>
      <c r="M323" t="s">
        <v>74</v>
      </c>
      <c r="N323" t="s">
        <v>78</v>
      </c>
      <c r="O323" t="s">
        <v>74</v>
      </c>
      <c r="P323" t="s">
        <v>74</v>
      </c>
      <c r="Q323" t="s">
        <v>74</v>
      </c>
      <c r="R323" t="s">
        <v>74</v>
      </c>
      <c r="S323" t="s">
        <v>74</v>
      </c>
      <c r="T323" t="s">
        <v>10308</v>
      </c>
      <c r="U323" t="s">
        <v>10309</v>
      </c>
      <c r="V323" t="s">
        <v>10310</v>
      </c>
      <c r="W323" t="s">
        <v>10311</v>
      </c>
      <c r="X323" t="s">
        <v>10312</v>
      </c>
      <c r="Y323" t="s">
        <v>10313</v>
      </c>
      <c r="Z323" t="s">
        <v>10314</v>
      </c>
      <c r="AA323" t="s">
        <v>10315</v>
      </c>
      <c r="AB323" t="s">
        <v>10316</v>
      </c>
      <c r="AC323" t="s">
        <v>74</v>
      </c>
      <c r="AD323" t="s">
        <v>74</v>
      </c>
      <c r="AE323" t="s">
        <v>74</v>
      </c>
      <c r="AF323" t="s">
        <v>74</v>
      </c>
      <c r="AG323">
        <v>72</v>
      </c>
      <c r="AH323">
        <v>17</v>
      </c>
      <c r="AI323">
        <v>17</v>
      </c>
      <c r="AJ323">
        <v>3</v>
      </c>
      <c r="AK323">
        <v>4</v>
      </c>
      <c r="AL323" t="s">
        <v>74</v>
      </c>
      <c r="AM323" t="s">
        <v>74</v>
      </c>
      <c r="AN323" t="s">
        <v>74</v>
      </c>
      <c r="AO323" t="s">
        <v>74</v>
      </c>
      <c r="AP323" t="s">
        <v>160</v>
      </c>
      <c r="AQ323" t="s">
        <v>74</v>
      </c>
      <c r="AR323" t="s">
        <v>74</v>
      </c>
      <c r="AS323" t="s">
        <v>74</v>
      </c>
      <c r="AT323" t="s">
        <v>659</v>
      </c>
      <c r="AU323">
        <v>2020</v>
      </c>
      <c r="AV323">
        <v>12</v>
      </c>
      <c r="AW323">
        <v>9</v>
      </c>
      <c r="AX323" t="s">
        <v>74</v>
      </c>
      <c r="AY323" t="s">
        <v>74</v>
      </c>
      <c r="AZ323" t="s">
        <v>74</v>
      </c>
      <c r="BA323" t="s">
        <v>74</v>
      </c>
      <c r="BB323" t="s">
        <v>74</v>
      </c>
      <c r="BC323" t="s">
        <v>74</v>
      </c>
      <c r="BD323">
        <v>2410</v>
      </c>
      <c r="BE323" t="s">
        <v>10317</v>
      </c>
      <c r="BF323" t="str">
        <f>HYPERLINK("http://dx.doi.org/10.3390/cancers12092410","http://dx.doi.org/10.3390/cancers12092410")</f>
        <v>http://dx.doi.org/10.3390/cancers12092410</v>
      </c>
      <c r="BG323" t="s">
        <v>74</v>
      </c>
      <c r="BH323" t="s">
        <v>74</v>
      </c>
      <c r="BI323" t="s">
        <v>74</v>
      </c>
      <c r="BJ323" t="s">
        <v>146</v>
      </c>
      <c r="BK323" t="s">
        <v>112</v>
      </c>
      <c r="BL323" t="s">
        <v>146</v>
      </c>
      <c r="BM323" t="s">
        <v>74</v>
      </c>
      <c r="BN323">
        <v>32854257</v>
      </c>
      <c r="BO323" t="s">
        <v>74</v>
      </c>
      <c r="BP323" t="s">
        <v>74</v>
      </c>
      <c r="BQ323" t="s">
        <v>74</v>
      </c>
      <c r="BR323" t="s">
        <v>93</v>
      </c>
      <c r="BS323" t="s">
        <v>10318</v>
      </c>
      <c r="BT323" t="str">
        <f>HYPERLINK("https%3A%2F%2Fwww.webofscience.com%2Fwos%2Fwoscc%2Ffull-record%2FWOS:000580779600001","View Full Record in Web of Science")</f>
        <v>View Full Record in Web of Science</v>
      </c>
    </row>
    <row r="324" spans="1:72" x14ac:dyDescent="0.15">
      <c r="A324" t="s">
        <v>72</v>
      </c>
      <c r="B324" t="s">
        <v>11106</v>
      </c>
      <c r="C324" t="s">
        <v>74</v>
      </c>
      <c r="D324" t="s">
        <v>74</v>
      </c>
      <c r="E324" t="s">
        <v>74</v>
      </c>
      <c r="F324" t="s">
        <v>11107</v>
      </c>
      <c r="G324" t="s">
        <v>74</v>
      </c>
      <c r="H324" t="s">
        <v>74</v>
      </c>
      <c r="I324" t="s">
        <v>11108</v>
      </c>
      <c r="J324" t="s">
        <v>2013</v>
      </c>
      <c r="K324" t="s">
        <v>74</v>
      </c>
      <c r="L324" t="s">
        <v>74</v>
      </c>
      <c r="M324" t="s">
        <v>74</v>
      </c>
      <c r="N324" t="s">
        <v>78</v>
      </c>
      <c r="O324" t="s">
        <v>74</v>
      </c>
      <c r="P324" t="s">
        <v>74</v>
      </c>
      <c r="Q324" t="s">
        <v>74</v>
      </c>
      <c r="R324" t="s">
        <v>74</v>
      </c>
      <c r="S324" t="s">
        <v>74</v>
      </c>
      <c r="T324" t="s">
        <v>74</v>
      </c>
      <c r="U324" t="s">
        <v>11109</v>
      </c>
      <c r="V324" t="s">
        <v>11110</v>
      </c>
      <c r="W324" t="s">
        <v>11111</v>
      </c>
      <c r="X324" t="s">
        <v>11112</v>
      </c>
      <c r="Y324" t="s">
        <v>11113</v>
      </c>
      <c r="Z324" t="s">
        <v>7005</v>
      </c>
      <c r="AA324" t="s">
        <v>11114</v>
      </c>
      <c r="AB324" t="s">
        <v>11115</v>
      </c>
      <c r="AC324" t="s">
        <v>74</v>
      </c>
      <c r="AD324" t="s">
        <v>74</v>
      </c>
      <c r="AE324" t="s">
        <v>74</v>
      </c>
      <c r="AF324" t="s">
        <v>74</v>
      </c>
      <c r="AG324">
        <v>59</v>
      </c>
      <c r="AH324">
        <v>17</v>
      </c>
      <c r="AI324">
        <v>17</v>
      </c>
      <c r="AJ324">
        <v>5</v>
      </c>
      <c r="AK324">
        <v>47</v>
      </c>
      <c r="AL324" t="s">
        <v>74</v>
      </c>
      <c r="AM324" t="s">
        <v>74</v>
      </c>
      <c r="AN324" t="s">
        <v>74</v>
      </c>
      <c r="AO324" t="s">
        <v>2022</v>
      </c>
      <c r="AP324" t="s">
        <v>2023</v>
      </c>
      <c r="AQ324" t="s">
        <v>74</v>
      </c>
      <c r="AR324" t="s">
        <v>74</v>
      </c>
      <c r="AS324" t="s">
        <v>74</v>
      </c>
      <c r="AT324" t="s">
        <v>11116</v>
      </c>
      <c r="AU324">
        <v>2017</v>
      </c>
      <c r="AV324">
        <v>89</v>
      </c>
      <c r="AW324">
        <v>17</v>
      </c>
      <c r="AX324" t="s">
        <v>74</v>
      </c>
      <c r="AY324" t="s">
        <v>74</v>
      </c>
      <c r="AZ324" t="s">
        <v>74</v>
      </c>
      <c r="BA324" t="s">
        <v>74</v>
      </c>
      <c r="BB324">
        <v>9201</v>
      </c>
      <c r="BC324">
        <v>9208</v>
      </c>
      <c r="BD324" t="s">
        <v>74</v>
      </c>
      <c r="BE324" t="s">
        <v>11117</v>
      </c>
      <c r="BF324" t="str">
        <f>HYPERLINK("http://dx.doi.org/10.1021/acs.analchem.7b01944","http://dx.doi.org/10.1021/acs.analchem.7b01944")</f>
        <v>http://dx.doi.org/10.1021/acs.analchem.7b01944</v>
      </c>
      <c r="BG324" t="s">
        <v>74</v>
      </c>
      <c r="BH324" t="s">
        <v>74</v>
      </c>
      <c r="BI324" t="s">
        <v>74</v>
      </c>
      <c r="BJ324" t="s">
        <v>1196</v>
      </c>
      <c r="BK324" t="s">
        <v>112</v>
      </c>
      <c r="BL324" t="s">
        <v>1197</v>
      </c>
      <c r="BM324" t="s">
        <v>74</v>
      </c>
      <c r="BN324">
        <v>28832110</v>
      </c>
      <c r="BO324" t="s">
        <v>74</v>
      </c>
      <c r="BP324" t="s">
        <v>74</v>
      </c>
      <c r="BQ324" t="s">
        <v>74</v>
      </c>
      <c r="BR324" t="s">
        <v>93</v>
      </c>
      <c r="BS324" t="s">
        <v>11118</v>
      </c>
      <c r="BT324" t="str">
        <f>HYPERLINK("https%3A%2F%2Fwww.webofscience.com%2Fwos%2Fwoscc%2Ffull-record%2FWOS:000410014900086","View Full Record in Web of Science")</f>
        <v>View Full Record in Web of Science</v>
      </c>
    </row>
    <row r="325" spans="1:72" x14ac:dyDescent="0.15">
      <c r="A325" t="s">
        <v>72</v>
      </c>
      <c r="B325" t="s">
        <v>3221</v>
      </c>
      <c r="C325" t="s">
        <v>74</v>
      </c>
      <c r="D325" t="s">
        <v>74</v>
      </c>
      <c r="E325" t="s">
        <v>74</v>
      </c>
      <c r="F325" t="s">
        <v>3222</v>
      </c>
      <c r="G325" t="s">
        <v>74</v>
      </c>
      <c r="H325" t="s">
        <v>74</v>
      </c>
      <c r="I325" t="s">
        <v>3223</v>
      </c>
      <c r="J325" t="s">
        <v>1184</v>
      </c>
      <c r="K325" t="s">
        <v>74</v>
      </c>
      <c r="L325" t="s">
        <v>74</v>
      </c>
      <c r="M325" t="s">
        <v>74</v>
      </c>
      <c r="N325" t="s">
        <v>78</v>
      </c>
      <c r="O325" t="s">
        <v>74</v>
      </c>
      <c r="P325" t="s">
        <v>74</v>
      </c>
      <c r="Q325" t="s">
        <v>74</v>
      </c>
      <c r="R325" t="s">
        <v>74</v>
      </c>
      <c r="S325" t="s">
        <v>74</v>
      </c>
      <c r="T325" t="s">
        <v>3224</v>
      </c>
      <c r="U325" t="s">
        <v>3225</v>
      </c>
      <c r="V325" t="s">
        <v>3226</v>
      </c>
      <c r="W325" t="s">
        <v>3227</v>
      </c>
      <c r="X325" t="s">
        <v>3228</v>
      </c>
      <c r="Y325" t="s">
        <v>3229</v>
      </c>
      <c r="Z325" t="s">
        <v>3230</v>
      </c>
      <c r="AA325" t="s">
        <v>74</v>
      </c>
      <c r="AB325" t="s">
        <v>3231</v>
      </c>
      <c r="AC325" t="s">
        <v>74</v>
      </c>
      <c r="AD325" t="s">
        <v>74</v>
      </c>
      <c r="AE325" t="s">
        <v>74</v>
      </c>
      <c r="AF325" t="s">
        <v>74</v>
      </c>
      <c r="AG325">
        <v>48</v>
      </c>
      <c r="AH325">
        <v>16</v>
      </c>
      <c r="AI325">
        <v>17</v>
      </c>
      <c r="AJ325">
        <v>38</v>
      </c>
      <c r="AK325">
        <v>195</v>
      </c>
      <c r="AL325" t="s">
        <v>74</v>
      </c>
      <c r="AM325" t="s">
        <v>74</v>
      </c>
      <c r="AN325" t="s">
        <v>74</v>
      </c>
      <c r="AO325" t="s">
        <v>1193</v>
      </c>
      <c r="AP325" t="s">
        <v>1194</v>
      </c>
      <c r="AQ325" t="s">
        <v>74</v>
      </c>
      <c r="AR325" t="s">
        <v>74</v>
      </c>
      <c r="AS325" t="s">
        <v>74</v>
      </c>
      <c r="AT325" t="s">
        <v>728</v>
      </c>
      <c r="AU325">
        <v>2021</v>
      </c>
      <c r="AV325">
        <v>221</v>
      </c>
      <c r="AW325" t="s">
        <v>74</v>
      </c>
      <c r="AX325" t="s">
        <v>74</v>
      </c>
      <c r="AY325" t="s">
        <v>74</v>
      </c>
      <c r="AZ325" t="s">
        <v>74</v>
      </c>
      <c r="BA325" t="s">
        <v>74</v>
      </c>
      <c r="BB325" t="s">
        <v>74</v>
      </c>
      <c r="BC325" t="s">
        <v>74</v>
      </c>
      <c r="BD325">
        <v>121571</v>
      </c>
      <c r="BE325" t="s">
        <v>3232</v>
      </c>
      <c r="BF325" t="str">
        <f>HYPERLINK("http://dx.doi.org/10.1016/j.talanta.2020.121571","http://dx.doi.org/10.1016/j.talanta.2020.121571")</f>
        <v>http://dx.doi.org/10.1016/j.talanta.2020.121571</v>
      </c>
      <c r="BG325" t="s">
        <v>74</v>
      </c>
      <c r="BH325" t="s">
        <v>74</v>
      </c>
      <c r="BI325" t="s">
        <v>74</v>
      </c>
      <c r="BJ325" t="s">
        <v>1196</v>
      </c>
      <c r="BK325" t="s">
        <v>112</v>
      </c>
      <c r="BL325" t="s">
        <v>1197</v>
      </c>
      <c r="BM325" t="s">
        <v>74</v>
      </c>
      <c r="BN325">
        <v>33076118</v>
      </c>
      <c r="BO325" t="s">
        <v>74</v>
      </c>
      <c r="BP325" t="s">
        <v>74</v>
      </c>
      <c r="BQ325" t="s">
        <v>74</v>
      </c>
      <c r="BR325" t="s">
        <v>93</v>
      </c>
      <c r="BS325" t="s">
        <v>3233</v>
      </c>
      <c r="BT325" t="str">
        <f>HYPERLINK("https%3A%2F%2Fwww.webofscience.com%2Fwos%2Fwoscc%2Ffull-record%2FWOS:000579910600074","View Full Record in Web of Science")</f>
        <v>View Full Record in Web of Science</v>
      </c>
    </row>
    <row r="326" spans="1:72" x14ac:dyDescent="0.15">
      <c r="A326" t="s">
        <v>312</v>
      </c>
      <c r="B326" t="s">
        <v>3682</v>
      </c>
      <c r="C326" t="s">
        <v>74</v>
      </c>
      <c r="D326" t="s">
        <v>3683</v>
      </c>
      <c r="E326" t="s">
        <v>74</v>
      </c>
      <c r="F326" t="s">
        <v>3684</v>
      </c>
      <c r="G326" t="s">
        <v>74</v>
      </c>
      <c r="H326" t="s">
        <v>74</v>
      </c>
      <c r="I326" t="s">
        <v>3685</v>
      </c>
      <c r="J326" t="s">
        <v>3686</v>
      </c>
      <c r="K326" t="s">
        <v>318</v>
      </c>
      <c r="L326" t="s">
        <v>74</v>
      </c>
      <c r="M326" t="s">
        <v>74</v>
      </c>
      <c r="N326" t="s">
        <v>319</v>
      </c>
      <c r="O326" t="s">
        <v>74</v>
      </c>
      <c r="P326" t="s">
        <v>74</v>
      </c>
      <c r="Q326" t="s">
        <v>74</v>
      </c>
      <c r="R326" t="s">
        <v>74</v>
      </c>
      <c r="S326" t="s">
        <v>74</v>
      </c>
      <c r="T326" t="s">
        <v>3687</v>
      </c>
      <c r="U326" t="s">
        <v>3688</v>
      </c>
      <c r="V326" t="s">
        <v>3689</v>
      </c>
      <c r="W326" t="s">
        <v>3690</v>
      </c>
      <c r="X326" t="s">
        <v>3691</v>
      </c>
      <c r="Y326" t="s">
        <v>3692</v>
      </c>
      <c r="Z326" t="s">
        <v>74</v>
      </c>
      <c r="AA326" t="s">
        <v>74</v>
      </c>
      <c r="AB326" t="s">
        <v>3693</v>
      </c>
      <c r="AC326" t="s">
        <v>74</v>
      </c>
      <c r="AD326" t="s">
        <v>74</v>
      </c>
      <c r="AE326" t="s">
        <v>74</v>
      </c>
      <c r="AF326" t="s">
        <v>74</v>
      </c>
      <c r="AG326">
        <v>39</v>
      </c>
      <c r="AH326">
        <v>16</v>
      </c>
      <c r="AI326">
        <v>16</v>
      </c>
      <c r="AJ326">
        <v>0</v>
      </c>
      <c r="AK326">
        <v>10</v>
      </c>
      <c r="AL326" t="s">
        <v>74</v>
      </c>
      <c r="AM326" t="s">
        <v>74</v>
      </c>
      <c r="AN326" t="s">
        <v>74</v>
      </c>
      <c r="AO326" t="s">
        <v>328</v>
      </c>
      <c r="AP326" t="s">
        <v>329</v>
      </c>
      <c r="AQ326" t="s">
        <v>3694</v>
      </c>
      <c r="AR326" t="s">
        <v>74</v>
      </c>
      <c r="AS326" t="s">
        <v>74</v>
      </c>
      <c r="AT326" t="s">
        <v>74</v>
      </c>
      <c r="AU326">
        <v>2016</v>
      </c>
      <c r="AV326">
        <v>1395</v>
      </c>
      <c r="AW326" t="s">
        <v>74</v>
      </c>
      <c r="AX326" t="s">
        <v>74</v>
      </c>
      <c r="AY326" t="s">
        <v>74</v>
      </c>
      <c r="AZ326" t="s">
        <v>74</v>
      </c>
      <c r="BA326" t="s">
        <v>74</v>
      </c>
      <c r="BB326">
        <v>229</v>
      </c>
      <c r="BC326">
        <v>239</v>
      </c>
      <c r="BD326" t="s">
        <v>74</v>
      </c>
      <c r="BE326" t="s">
        <v>3695</v>
      </c>
      <c r="BF326" t="str">
        <f>HYPERLINK("http://dx.doi.org/10.1007/978-1-4939-3347-1_13","http://dx.doi.org/10.1007/978-1-4939-3347-1_13")</f>
        <v>http://dx.doi.org/10.1007/978-1-4939-3347-1_13</v>
      </c>
      <c r="BG326" t="s">
        <v>3696</v>
      </c>
      <c r="BH326" t="s">
        <v>74</v>
      </c>
      <c r="BI326" t="s">
        <v>74</v>
      </c>
      <c r="BJ326" t="s">
        <v>3697</v>
      </c>
      <c r="BK326" t="s">
        <v>334</v>
      </c>
      <c r="BL326" t="s">
        <v>3698</v>
      </c>
      <c r="BM326" t="s">
        <v>74</v>
      </c>
      <c r="BN326">
        <v>26910077</v>
      </c>
      <c r="BO326" t="s">
        <v>74</v>
      </c>
      <c r="BP326" t="s">
        <v>74</v>
      </c>
      <c r="BQ326" t="s">
        <v>74</v>
      </c>
      <c r="BR326" t="s">
        <v>93</v>
      </c>
      <c r="BS326" t="s">
        <v>3699</v>
      </c>
      <c r="BT326" t="str">
        <f>HYPERLINK("https%3A%2F%2Fwww.webofscience.com%2Fwos%2Fwoscc%2Ffull-record%2FWOS:000383048200014","View Full Record in Web of Science")</f>
        <v>View Full Record in Web of Science</v>
      </c>
    </row>
    <row r="327" spans="1:72" x14ac:dyDescent="0.15">
      <c r="A327" t="s">
        <v>72</v>
      </c>
      <c r="B327" t="s">
        <v>4548</v>
      </c>
      <c r="C327" t="s">
        <v>74</v>
      </c>
      <c r="D327" t="s">
        <v>74</v>
      </c>
      <c r="E327" t="s">
        <v>74</v>
      </c>
      <c r="F327" t="s">
        <v>4549</v>
      </c>
      <c r="G327" t="s">
        <v>74</v>
      </c>
      <c r="H327" t="s">
        <v>74</v>
      </c>
      <c r="I327" t="s">
        <v>4550</v>
      </c>
      <c r="J327" t="s">
        <v>4551</v>
      </c>
      <c r="K327" t="s">
        <v>74</v>
      </c>
      <c r="L327" t="s">
        <v>74</v>
      </c>
      <c r="M327" t="s">
        <v>74</v>
      </c>
      <c r="N327" t="s">
        <v>78</v>
      </c>
      <c r="O327" t="s">
        <v>74</v>
      </c>
      <c r="P327" t="s">
        <v>74</v>
      </c>
      <c r="Q327" t="s">
        <v>74</v>
      </c>
      <c r="R327" t="s">
        <v>74</v>
      </c>
      <c r="S327" t="s">
        <v>74</v>
      </c>
      <c r="T327" t="s">
        <v>74</v>
      </c>
      <c r="U327" t="s">
        <v>4552</v>
      </c>
      <c r="V327" t="s">
        <v>4553</v>
      </c>
      <c r="W327" t="s">
        <v>4554</v>
      </c>
      <c r="X327" t="s">
        <v>4555</v>
      </c>
      <c r="Y327" t="s">
        <v>4556</v>
      </c>
      <c r="Z327" t="s">
        <v>4557</v>
      </c>
      <c r="AA327" t="s">
        <v>74</v>
      </c>
      <c r="AB327" t="s">
        <v>74</v>
      </c>
      <c r="AC327" t="s">
        <v>74</v>
      </c>
      <c r="AD327" t="s">
        <v>74</v>
      </c>
      <c r="AE327" t="s">
        <v>74</v>
      </c>
      <c r="AF327" t="s">
        <v>74</v>
      </c>
      <c r="AG327">
        <v>70</v>
      </c>
      <c r="AH327">
        <v>16</v>
      </c>
      <c r="AI327">
        <v>16</v>
      </c>
      <c r="AJ327">
        <v>1</v>
      </c>
      <c r="AK327">
        <v>5</v>
      </c>
      <c r="AL327" t="s">
        <v>74</v>
      </c>
      <c r="AM327" t="s">
        <v>74</v>
      </c>
      <c r="AN327" t="s">
        <v>74</v>
      </c>
      <c r="AO327" t="s">
        <v>4558</v>
      </c>
      <c r="AP327" t="s">
        <v>4559</v>
      </c>
      <c r="AQ327" t="s">
        <v>74</v>
      </c>
      <c r="AR327" t="s">
        <v>74</v>
      </c>
      <c r="AS327" t="s">
        <v>74</v>
      </c>
      <c r="AT327" t="s">
        <v>74</v>
      </c>
      <c r="AU327">
        <v>2018</v>
      </c>
      <c r="AV327">
        <v>2018</v>
      </c>
      <c r="AW327" t="s">
        <v>74</v>
      </c>
      <c r="AX327" t="s">
        <v>74</v>
      </c>
      <c r="AY327" t="s">
        <v>74</v>
      </c>
      <c r="AZ327" t="s">
        <v>74</v>
      </c>
      <c r="BA327" t="s">
        <v>74</v>
      </c>
      <c r="BB327" t="s">
        <v>74</v>
      </c>
      <c r="BC327" t="s">
        <v>74</v>
      </c>
      <c r="BD327">
        <v>7863412</v>
      </c>
      <c r="BE327" t="s">
        <v>4560</v>
      </c>
      <c r="BF327" t="str">
        <f>HYPERLINK("http://dx.doi.org/10.1155/2018/7863412","http://dx.doi.org/10.1155/2018/7863412")</f>
        <v>http://dx.doi.org/10.1155/2018/7863412</v>
      </c>
      <c r="BG327" t="s">
        <v>74</v>
      </c>
      <c r="BH327" t="s">
        <v>74</v>
      </c>
      <c r="BI327" t="s">
        <v>74</v>
      </c>
      <c r="BJ327" t="s">
        <v>401</v>
      </c>
      <c r="BK327" t="s">
        <v>91</v>
      </c>
      <c r="BL327" t="s">
        <v>401</v>
      </c>
      <c r="BM327" t="s">
        <v>74</v>
      </c>
      <c r="BN327">
        <v>29721020</v>
      </c>
      <c r="BO327" t="s">
        <v>74</v>
      </c>
      <c r="BP327" t="s">
        <v>74</v>
      </c>
      <c r="BQ327" t="s">
        <v>74</v>
      </c>
      <c r="BR327" t="s">
        <v>93</v>
      </c>
      <c r="BS327" t="s">
        <v>4561</v>
      </c>
      <c r="BT327" t="str">
        <f>HYPERLINK("https%3A%2F%2Fwww.webofscience.com%2Fwos%2Fwoscc%2Ffull-record%2FWOS:000428367700001","View Full Record in Web of Science")</f>
        <v>View Full Record in Web of Science</v>
      </c>
    </row>
    <row r="328" spans="1:72" x14ac:dyDescent="0.15">
      <c r="A328" t="s">
        <v>312</v>
      </c>
      <c r="B328" t="s">
        <v>4574</v>
      </c>
      <c r="C328" t="s">
        <v>74</v>
      </c>
      <c r="D328" t="s">
        <v>4575</v>
      </c>
      <c r="E328" t="s">
        <v>74</v>
      </c>
      <c r="F328" t="s">
        <v>4576</v>
      </c>
      <c r="G328" t="s">
        <v>74</v>
      </c>
      <c r="H328" t="s">
        <v>74</v>
      </c>
      <c r="I328" t="s">
        <v>4577</v>
      </c>
      <c r="J328" t="s">
        <v>4578</v>
      </c>
      <c r="K328" t="s">
        <v>318</v>
      </c>
      <c r="L328" t="s">
        <v>74</v>
      </c>
      <c r="M328" t="s">
        <v>74</v>
      </c>
      <c r="N328" t="s">
        <v>319</v>
      </c>
      <c r="O328" t="s">
        <v>74</v>
      </c>
      <c r="P328" t="s">
        <v>74</v>
      </c>
      <c r="Q328" t="s">
        <v>74</v>
      </c>
      <c r="R328" t="s">
        <v>74</v>
      </c>
      <c r="S328" t="s">
        <v>74</v>
      </c>
      <c r="T328" t="s">
        <v>4579</v>
      </c>
      <c r="U328" t="s">
        <v>4580</v>
      </c>
      <c r="V328" t="s">
        <v>4581</v>
      </c>
      <c r="W328" t="s">
        <v>4582</v>
      </c>
      <c r="X328" t="s">
        <v>4583</v>
      </c>
      <c r="Y328" t="s">
        <v>4584</v>
      </c>
      <c r="Z328" t="s">
        <v>74</v>
      </c>
      <c r="AA328" t="s">
        <v>4585</v>
      </c>
      <c r="AB328" t="s">
        <v>4586</v>
      </c>
      <c r="AC328" t="s">
        <v>74</v>
      </c>
      <c r="AD328" t="s">
        <v>74</v>
      </c>
      <c r="AE328" t="s">
        <v>74</v>
      </c>
      <c r="AF328" t="s">
        <v>74</v>
      </c>
      <c r="AG328">
        <v>19</v>
      </c>
      <c r="AH328">
        <v>16</v>
      </c>
      <c r="AI328">
        <v>17</v>
      </c>
      <c r="AJ328">
        <v>1</v>
      </c>
      <c r="AK328">
        <v>13</v>
      </c>
      <c r="AL328" t="s">
        <v>74</v>
      </c>
      <c r="AM328" t="s">
        <v>74</v>
      </c>
      <c r="AN328" t="s">
        <v>74</v>
      </c>
      <c r="AO328" t="s">
        <v>328</v>
      </c>
      <c r="AP328" t="s">
        <v>329</v>
      </c>
      <c r="AQ328" t="s">
        <v>4587</v>
      </c>
      <c r="AR328" t="s">
        <v>74</v>
      </c>
      <c r="AS328" t="s">
        <v>74</v>
      </c>
      <c r="AT328" t="s">
        <v>74</v>
      </c>
      <c r="AU328">
        <v>2018</v>
      </c>
      <c r="AV328">
        <v>1710</v>
      </c>
      <c r="AW328" t="s">
        <v>74</v>
      </c>
      <c r="AX328" t="s">
        <v>74</v>
      </c>
      <c r="AY328" t="s">
        <v>74</v>
      </c>
      <c r="AZ328" t="s">
        <v>74</v>
      </c>
      <c r="BA328" t="s">
        <v>74</v>
      </c>
      <c r="BB328">
        <v>131</v>
      </c>
      <c r="BC328">
        <v>138</v>
      </c>
      <c r="BD328" t="s">
        <v>74</v>
      </c>
      <c r="BE328" t="s">
        <v>4588</v>
      </c>
      <c r="BF328" t="str">
        <f>HYPERLINK("http://dx.doi.org/10.1007/978-1-4939-7498-6_10","http://dx.doi.org/10.1007/978-1-4939-7498-6_10")</f>
        <v>http://dx.doi.org/10.1007/978-1-4939-7498-6_10</v>
      </c>
      <c r="BG328" t="s">
        <v>4589</v>
      </c>
      <c r="BH328" t="s">
        <v>74</v>
      </c>
      <c r="BI328" t="s">
        <v>74</v>
      </c>
      <c r="BJ328" t="s">
        <v>4590</v>
      </c>
      <c r="BK328" t="s">
        <v>334</v>
      </c>
      <c r="BL328" t="s">
        <v>3263</v>
      </c>
      <c r="BM328" t="s">
        <v>74</v>
      </c>
      <c r="BN328">
        <v>29196999</v>
      </c>
      <c r="BO328" t="s">
        <v>74</v>
      </c>
      <c r="BP328" t="s">
        <v>74</v>
      </c>
      <c r="BQ328" t="s">
        <v>74</v>
      </c>
      <c r="BR328" t="s">
        <v>93</v>
      </c>
      <c r="BS328" t="s">
        <v>4591</v>
      </c>
      <c r="BT328" t="str">
        <f>HYPERLINK("https%3A%2F%2Fwww.webofscience.com%2Fwos%2Fwoscc%2Ffull-record%2FWOS:000433434600011","View Full Record in Web of Science")</f>
        <v>View Full Record in Web of Science</v>
      </c>
    </row>
    <row r="329" spans="1:72" x14ac:dyDescent="0.15">
      <c r="A329" t="s">
        <v>72</v>
      </c>
      <c r="B329" t="s">
        <v>4737</v>
      </c>
      <c r="C329" t="s">
        <v>74</v>
      </c>
      <c r="D329" t="s">
        <v>74</v>
      </c>
      <c r="E329" t="s">
        <v>74</v>
      </c>
      <c r="F329" t="s">
        <v>4738</v>
      </c>
      <c r="G329" t="s">
        <v>74</v>
      </c>
      <c r="H329" t="s">
        <v>74</v>
      </c>
      <c r="I329" t="s">
        <v>4739</v>
      </c>
      <c r="J329" t="s">
        <v>1027</v>
      </c>
      <c r="K329" t="s">
        <v>74</v>
      </c>
      <c r="L329" t="s">
        <v>74</v>
      </c>
      <c r="M329" t="s">
        <v>74</v>
      </c>
      <c r="N329" t="s">
        <v>78</v>
      </c>
      <c r="O329" t="s">
        <v>74</v>
      </c>
      <c r="P329" t="s">
        <v>74</v>
      </c>
      <c r="Q329" t="s">
        <v>74</v>
      </c>
      <c r="R329" t="s">
        <v>74</v>
      </c>
      <c r="S329" t="s">
        <v>74</v>
      </c>
      <c r="T329" t="s">
        <v>4740</v>
      </c>
      <c r="U329" t="s">
        <v>4741</v>
      </c>
      <c r="V329" t="s">
        <v>4742</v>
      </c>
      <c r="W329" t="s">
        <v>4743</v>
      </c>
      <c r="X329" t="s">
        <v>4744</v>
      </c>
      <c r="Y329" t="s">
        <v>4745</v>
      </c>
      <c r="Z329" t="s">
        <v>4746</v>
      </c>
      <c r="AA329" t="s">
        <v>4747</v>
      </c>
      <c r="AB329" t="s">
        <v>4748</v>
      </c>
      <c r="AC329" t="s">
        <v>74</v>
      </c>
      <c r="AD329" t="s">
        <v>74</v>
      </c>
      <c r="AE329" t="s">
        <v>74</v>
      </c>
      <c r="AF329" t="s">
        <v>74</v>
      </c>
      <c r="AG329">
        <v>74</v>
      </c>
      <c r="AH329">
        <v>16</v>
      </c>
      <c r="AI329">
        <v>16</v>
      </c>
      <c r="AJ329">
        <v>3</v>
      </c>
      <c r="AK329">
        <v>10</v>
      </c>
      <c r="AL329" t="s">
        <v>74</v>
      </c>
      <c r="AM329" t="s">
        <v>74</v>
      </c>
      <c r="AN329" t="s">
        <v>74</v>
      </c>
      <c r="AO329" t="s">
        <v>74</v>
      </c>
      <c r="AP329" t="s">
        <v>1035</v>
      </c>
      <c r="AQ329" t="s">
        <v>74</v>
      </c>
      <c r="AR329" t="s">
        <v>74</v>
      </c>
      <c r="AS329" t="s">
        <v>74</v>
      </c>
      <c r="AT329" t="s">
        <v>1570</v>
      </c>
      <c r="AU329">
        <v>2020</v>
      </c>
      <c r="AV329">
        <v>13</v>
      </c>
      <c r="AW329">
        <v>1</v>
      </c>
      <c r="AX329" t="s">
        <v>74</v>
      </c>
      <c r="AY329" t="s">
        <v>74</v>
      </c>
      <c r="AZ329" t="s">
        <v>74</v>
      </c>
      <c r="BA329" t="s">
        <v>74</v>
      </c>
      <c r="BB329" t="s">
        <v>74</v>
      </c>
      <c r="BC329" t="s">
        <v>74</v>
      </c>
      <c r="BD329">
        <v>128</v>
      </c>
      <c r="BE329" t="s">
        <v>4749</v>
      </c>
      <c r="BF329" t="str">
        <f>HYPERLINK("http://dx.doi.org/10.1186/s12920-020-00748-3","http://dx.doi.org/10.1186/s12920-020-00748-3")</f>
        <v>http://dx.doi.org/10.1186/s12920-020-00748-3</v>
      </c>
      <c r="BG329" t="s">
        <v>74</v>
      </c>
      <c r="BH329" t="s">
        <v>74</v>
      </c>
      <c r="BI329" t="s">
        <v>74</v>
      </c>
      <c r="BJ329" t="s">
        <v>349</v>
      </c>
      <c r="BK329" t="s">
        <v>112</v>
      </c>
      <c r="BL329" t="s">
        <v>349</v>
      </c>
      <c r="BM329" t="s">
        <v>74</v>
      </c>
      <c r="BN329">
        <v>32912198</v>
      </c>
      <c r="BO329" t="s">
        <v>74</v>
      </c>
      <c r="BP329" t="s">
        <v>74</v>
      </c>
      <c r="BQ329" t="s">
        <v>74</v>
      </c>
      <c r="BR329" t="s">
        <v>93</v>
      </c>
      <c r="BS329" t="s">
        <v>4750</v>
      </c>
      <c r="BT329" t="str">
        <f>HYPERLINK("https%3A%2F%2Fwww.webofscience.com%2Fwos%2Fwoscc%2Ffull-record%2FWOS:000570655600001","View Full Record in Web of Science")</f>
        <v>View Full Record in Web of Science</v>
      </c>
    </row>
    <row r="330" spans="1:72" x14ac:dyDescent="0.15">
      <c r="A330" t="s">
        <v>72</v>
      </c>
      <c r="B330" t="s">
        <v>6167</v>
      </c>
      <c r="C330" t="s">
        <v>74</v>
      </c>
      <c r="D330" t="s">
        <v>74</v>
      </c>
      <c r="E330" t="s">
        <v>74</v>
      </c>
      <c r="F330" t="s">
        <v>6168</v>
      </c>
      <c r="G330" t="s">
        <v>74</v>
      </c>
      <c r="H330" t="s">
        <v>74</v>
      </c>
      <c r="I330" t="s">
        <v>6169</v>
      </c>
      <c r="J330" t="s">
        <v>6170</v>
      </c>
      <c r="K330" t="s">
        <v>74</v>
      </c>
      <c r="L330" t="s">
        <v>74</v>
      </c>
      <c r="M330" t="s">
        <v>74</v>
      </c>
      <c r="N330" t="s">
        <v>78</v>
      </c>
      <c r="O330" t="s">
        <v>74</v>
      </c>
      <c r="P330" t="s">
        <v>74</v>
      </c>
      <c r="Q330" t="s">
        <v>74</v>
      </c>
      <c r="R330" t="s">
        <v>74</v>
      </c>
      <c r="S330" t="s">
        <v>74</v>
      </c>
      <c r="T330" t="s">
        <v>6171</v>
      </c>
      <c r="U330" t="s">
        <v>6172</v>
      </c>
      <c r="V330" t="s">
        <v>6173</v>
      </c>
      <c r="W330" t="s">
        <v>6174</v>
      </c>
      <c r="X330" t="s">
        <v>6175</v>
      </c>
      <c r="Y330" t="s">
        <v>6176</v>
      </c>
      <c r="Z330" t="s">
        <v>6177</v>
      </c>
      <c r="AA330" t="s">
        <v>6178</v>
      </c>
      <c r="AB330" t="s">
        <v>6179</v>
      </c>
      <c r="AC330" t="s">
        <v>74</v>
      </c>
      <c r="AD330" t="s">
        <v>74</v>
      </c>
      <c r="AE330" t="s">
        <v>74</v>
      </c>
      <c r="AF330" t="s">
        <v>74</v>
      </c>
      <c r="AG330">
        <v>49</v>
      </c>
      <c r="AH330">
        <v>16</v>
      </c>
      <c r="AI330">
        <v>17</v>
      </c>
      <c r="AJ330">
        <v>2</v>
      </c>
      <c r="AK330">
        <v>9</v>
      </c>
      <c r="AL330" t="s">
        <v>74</v>
      </c>
      <c r="AM330" t="s">
        <v>74</v>
      </c>
      <c r="AN330" t="s">
        <v>74</v>
      </c>
      <c r="AO330" t="s">
        <v>6180</v>
      </c>
      <c r="AP330" t="s">
        <v>74</v>
      </c>
      <c r="AQ330" t="s">
        <v>74</v>
      </c>
      <c r="AR330" t="s">
        <v>74</v>
      </c>
      <c r="AS330" t="s">
        <v>74</v>
      </c>
      <c r="AT330" t="s">
        <v>6088</v>
      </c>
      <c r="AU330">
        <v>2019</v>
      </c>
      <c r="AV330">
        <v>12</v>
      </c>
      <c r="AW330" t="s">
        <v>74</v>
      </c>
      <c r="AX330" t="s">
        <v>74</v>
      </c>
      <c r="AY330" t="s">
        <v>74</v>
      </c>
      <c r="AZ330" t="s">
        <v>74</v>
      </c>
      <c r="BA330" t="s">
        <v>74</v>
      </c>
      <c r="BB330" t="s">
        <v>74</v>
      </c>
      <c r="BC330" t="s">
        <v>74</v>
      </c>
      <c r="BD330">
        <v>56</v>
      </c>
      <c r="BE330" t="s">
        <v>6181</v>
      </c>
      <c r="BF330" t="str">
        <f>HYPERLINK("http://dx.doi.org/10.1186/s13045-019-0740-7","http://dx.doi.org/10.1186/s13045-019-0740-7")</f>
        <v>http://dx.doi.org/10.1186/s13045-019-0740-7</v>
      </c>
      <c r="BG330" t="s">
        <v>74</v>
      </c>
      <c r="BH330" t="s">
        <v>74</v>
      </c>
      <c r="BI330" t="s">
        <v>74</v>
      </c>
      <c r="BJ330" t="s">
        <v>6182</v>
      </c>
      <c r="BK330" t="s">
        <v>112</v>
      </c>
      <c r="BL330" t="s">
        <v>6182</v>
      </c>
      <c r="BM330" t="s">
        <v>74</v>
      </c>
      <c r="BN330">
        <v>31182116</v>
      </c>
      <c r="BO330" t="s">
        <v>74</v>
      </c>
      <c r="BP330" t="s">
        <v>74</v>
      </c>
      <c r="BQ330" t="s">
        <v>74</v>
      </c>
      <c r="BR330" t="s">
        <v>93</v>
      </c>
      <c r="BS330" t="s">
        <v>6183</v>
      </c>
      <c r="BT330" t="str">
        <f>HYPERLINK("https%3A%2F%2Fwww.webofscience.com%2Fwos%2Fwoscc%2Ffull-record%2FWOS:000471276700003","View Full Record in Web of Science")</f>
        <v>View Full Record in Web of Science</v>
      </c>
    </row>
    <row r="331" spans="1:72" x14ac:dyDescent="0.15">
      <c r="A331" t="s">
        <v>72</v>
      </c>
      <c r="B331" t="s">
        <v>9025</v>
      </c>
      <c r="C331" t="s">
        <v>74</v>
      </c>
      <c r="D331" t="s">
        <v>74</v>
      </c>
      <c r="E331" t="s">
        <v>74</v>
      </c>
      <c r="F331" t="s">
        <v>9026</v>
      </c>
      <c r="G331" t="s">
        <v>74</v>
      </c>
      <c r="H331" t="s">
        <v>74</v>
      </c>
      <c r="I331" t="s">
        <v>9027</v>
      </c>
      <c r="J331" t="s">
        <v>9028</v>
      </c>
      <c r="K331" t="s">
        <v>74</v>
      </c>
      <c r="L331" t="s">
        <v>74</v>
      </c>
      <c r="M331" t="s">
        <v>74</v>
      </c>
      <c r="N331" t="s">
        <v>78</v>
      </c>
      <c r="O331" t="s">
        <v>74</v>
      </c>
      <c r="P331" t="s">
        <v>74</v>
      </c>
      <c r="Q331" t="s">
        <v>74</v>
      </c>
      <c r="R331" t="s">
        <v>74</v>
      </c>
      <c r="S331" t="s">
        <v>74</v>
      </c>
      <c r="T331" t="s">
        <v>9029</v>
      </c>
      <c r="U331" t="s">
        <v>9030</v>
      </c>
      <c r="V331" t="s">
        <v>9031</v>
      </c>
      <c r="W331" t="s">
        <v>9032</v>
      </c>
      <c r="X331" t="s">
        <v>9033</v>
      </c>
      <c r="Y331" t="s">
        <v>9034</v>
      </c>
      <c r="Z331" t="s">
        <v>9035</v>
      </c>
      <c r="AA331" t="s">
        <v>74</v>
      </c>
      <c r="AB331" t="s">
        <v>9036</v>
      </c>
      <c r="AC331" t="s">
        <v>74</v>
      </c>
      <c r="AD331" t="s">
        <v>74</v>
      </c>
      <c r="AE331" t="s">
        <v>74</v>
      </c>
      <c r="AF331" t="s">
        <v>74</v>
      </c>
      <c r="AG331">
        <v>33</v>
      </c>
      <c r="AH331">
        <v>16</v>
      </c>
      <c r="AI331">
        <v>16</v>
      </c>
      <c r="AJ331">
        <v>0</v>
      </c>
      <c r="AK331">
        <v>5</v>
      </c>
      <c r="AL331" t="s">
        <v>74</v>
      </c>
      <c r="AM331" t="s">
        <v>74</v>
      </c>
      <c r="AN331" t="s">
        <v>74</v>
      </c>
      <c r="AO331" t="s">
        <v>9037</v>
      </c>
      <c r="AP331" t="s">
        <v>9038</v>
      </c>
      <c r="AQ331" t="s">
        <v>74</v>
      </c>
      <c r="AR331" t="s">
        <v>74</v>
      </c>
      <c r="AS331" t="s">
        <v>74</v>
      </c>
      <c r="AT331" t="s">
        <v>171</v>
      </c>
      <c r="AU331">
        <v>2017</v>
      </c>
      <c r="AV331">
        <v>32</v>
      </c>
      <c r="AW331">
        <v>12</v>
      </c>
      <c r="AX331" t="s">
        <v>74</v>
      </c>
      <c r="AY331" t="s">
        <v>74</v>
      </c>
      <c r="AZ331" t="s">
        <v>74</v>
      </c>
      <c r="BA331" t="s">
        <v>74</v>
      </c>
      <c r="BB331">
        <v>2010</v>
      </c>
      <c r="BC331">
        <v>2017</v>
      </c>
      <c r="BD331" t="s">
        <v>74</v>
      </c>
      <c r="BE331" t="s">
        <v>9039</v>
      </c>
      <c r="BF331" t="str">
        <f>HYPERLINK("http://dx.doi.org/10.1093/ndt/gfx083","http://dx.doi.org/10.1093/ndt/gfx083")</f>
        <v>http://dx.doi.org/10.1093/ndt/gfx083</v>
      </c>
      <c r="BG331" t="s">
        <v>74</v>
      </c>
      <c r="BH331" t="s">
        <v>74</v>
      </c>
      <c r="BI331" t="s">
        <v>74</v>
      </c>
      <c r="BJ331" t="s">
        <v>9040</v>
      </c>
      <c r="BK331" t="s">
        <v>112</v>
      </c>
      <c r="BL331" t="s">
        <v>9040</v>
      </c>
      <c r="BM331" t="s">
        <v>74</v>
      </c>
      <c r="BN331">
        <v>29156055</v>
      </c>
      <c r="BO331" t="s">
        <v>74</v>
      </c>
      <c r="BP331" t="s">
        <v>74</v>
      </c>
      <c r="BQ331" t="s">
        <v>74</v>
      </c>
      <c r="BR331" t="s">
        <v>93</v>
      </c>
      <c r="BS331" t="s">
        <v>9041</v>
      </c>
      <c r="BT331" t="str">
        <f>HYPERLINK("https%3A%2F%2Fwww.webofscience.com%2Fwos%2Fwoscc%2Ffull-record%2FWOS:000417201400009","View Full Record in Web of Science")</f>
        <v>View Full Record in Web of Science</v>
      </c>
    </row>
    <row r="332" spans="1:72" x14ac:dyDescent="0.15">
      <c r="A332" t="s">
        <v>72</v>
      </c>
      <c r="B332" t="s">
        <v>10906</v>
      </c>
      <c r="C332" t="s">
        <v>74</v>
      </c>
      <c r="D332" t="s">
        <v>74</v>
      </c>
      <c r="E332" t="s">
        <v>74</v>
      </c>
      <c r="F332" t="s">
        <v>10907</v>
      </c>
      <c r="G332" t="s">
        <v>74</v>
      </c>
      <c r="H332" t="s">
        <v>74</v>
      </c>
      <c r="I332" t="s">
        <v>10908</v>
      </c>
      <c r="J332" t="s">
        <v>992</v>
      </c>
      <c r="K332" t="s">
        <v>74</v>
      </c>
      <c r="L332" t="s">
        <v>74</v>
      </c>
      <c r="M332" t="s">
        <v>74</v>
      </c>
      <c r="N332" t="s">
        <v>78</v>
      </c>
      <c r="O332" t="s">
        <v>74</v>
      </c>
      <c r="P332" t="s">
        <v>74</v>
      </c>
      <c r="Q332" t="s">
        <v>74</v>
      </c>
      <c r="R332" t="s">
        <v>74</v>
      </c>
      <c r="S332" t="s">
        <v>74</v>
      </c>
      <c r="T332" t="s">
        <v>10909</v>
      </c>
      <c r="U332" t="s">
        <v>10910</v>
      </c>
      <c r="V332" t="s">
        <v>10911</v>
      </c>
      <c r="W332" t="s">
        <v>10912</v>
      </c>
      <c r="X332" t="s">
        <v>10913</v>
      </c>
      <c r="Y332" t="s">
        <v>10914</v>
      </c>
      <c r="Z332" t="s">
        <v>10915</v>
      </c>
      <c r="AA332" t="s">
        <v>74</v>
      </c>
      <c r="AB332" t="s">
        <v>10916</v>
      </c>
      <c r="AC332" t="s">
        <v>74</v>
      </c>
      <c r="AD332" t="s">
        <v>74</v>
      </c>
      <c r="AE332" t="s">
        <v>74</v>
      </c>
      <c r="AF332" t="s">
        <v>74</v>
      </c>
      <c r="AG332">
        <v>28</v>
      </c>
      <c r="AH332">
        <v>16</v>
      </c>
      <c r="AI332">
        <v>16</v>
      </c>
      <c r="AJ332">
        <v>11</v>
      </c>
      <c r="AK332">
        <v>139</v>
      </c>
      <c r="AL332" t="s">
        <v>74</v>
      </c>
      <c r="AM332" t="s">
        <v>74</v>
      </c>
      <c r="AN332" t="s">
        <v>74</v>
      </c>
      <c r="AO332" t="s">
        <v>1001</v>
      </c>
      <c r="AP332" t="s">
        <v>1002</v>
      </c>
      <c r="AQ332" t="s">
        <v>74</v>
      </c>
      <c r="AR332" t="s">
        <v>74</v>
      </c>
      <c r="AS332" t="s">
        <v>74</v>
      </c>
      <c r="AT332" t="s">
        <v>3441</v>
      </c>
      <c r="AU332">
        <v>2018</v>
      </c>
      <c r="AV332">
        <v>113</v>
      </c>
      <c r="AW332" t="s">
        <v>74</v>
      </c>
      <c r="AX332" t="s">
        <v>74</v>
      </c>
      <c r="AY332" t="s">
        <v>74</v>
      </c>
      <c r="AZ332" t="s">
        <v>74</v>
      </c>
      <c r="BA332" t="s">
        <v>74</v>
      </c>
      <c r="BB332">
        <v>74</v>
      </c>
      <c r="BC332">
        <v>81</v>
      </c>
      <c r="BD332" t="s">
        <v>74</v>
      </c>
      <c r="BE332" t="s">
        <v>10917</v>
      </c>
      <c r="BF332" t="str">
        <f>HYPERLINK("http://dx.doi.org/10.1016/j.bios.2018.04.023","http://dx.doi.org/10.1016/j.bios.2018.04.023")</f>
        <v>http://dx.doi.org/10.1016/j.bios.2018.04.023</v>
      </c>
      <c r="BG332" t="s">
        <v>74</v>
      </c>
      <c r="BH332" t="s">
        <v>74</v>
      </c>
      <c r="BI332" t="s">
        <v>74</v>
      </c>
      <c r="BJ332" t="s">
        <v>1006</v>
      </c>
      <c r="BK332" t="s">
        <v>112</v>
      </c>
      <c r="BL332" t="s">
        <v>1007</v>
      </c>
      <c r="BM332" t="s">
        <v>74</v>
      </c>
      <c r="BN332">
        <v>29734033</v>
      </c>
      <c r="BO332" t="s">
        <v>74</v>
      </c>
      <c r="BP332" t="s">
        <v>74</v>
      </c>
      <c r="BQ332" t="s">
        <v>74</v>
      </c>
      <c r="BR332" t="s">
        <v>93</v>
      </c>
      <c r="BS332" t="s">
        <v>10918</v>
      </c>
      <c r="BT332" t="str">
        <f>HYPERLINK("https%3A%2F%2Fwww.webofscience.com%2Fwos%2Fwoscc%2Ffull-record%2FWOS:000434750100010","View Full Record in Web of Science")</f>
        <v>View Full Record in Web of Science</v>
      </c>
    </row>
    <row r="333" spans="1:72" x14ac:dyDescent="0.15">
      <c r="A333" t="s">
        <v>72</v>
      </c>
      <c r="B333" t="s">
        <v>2126</v>
      </c>
      <c r="C333" t="s">
        <v>74</v>
      </c>
      <c r="D333" t="s">
        <v>74</v>
      </c>
      <c r="E333" t="s">
        <v>74</v>
      </c>
      <c r="F333" t="s">
        <v>2127</v>
      </c>
      <c r="G333" t="s">
        <v>74</v>
      </c>
      <c r="H333" t="s">
        <v>74</v>
      </c>
      <c r="I333" t="s">
        <v>2128</v>
      </c>
      <c r="J333" t="s">
        <v>406</v>
      </c>
      <c r="K333" t="s">
        <v>74</v>
      </c>
      <c r="L333" t="s">
        <v>74</v>
      </c>
      <c r="M333" t="s">
        <v>74</v>
      </c>
      <c r="N333" t="s">
        <v>78</v>
      </c>
      <c r="O333" t="s">
        <v>74</v>
      </c>
      <c r="P333" t="s">
        <v>74</v>
      </c>
      <c r="Q333" t="s">
        <v>74</v>
      </c>
      <c r="R333" t="s">
        <v>74</v>
      </c>
      <c r="S333" t="s">
        <v>74</v>
      </c>
      <c r="T333" t="s">
        <v>2129</v>
      </c>
      <c r="U333" t="s">
        <v>2130</v>
      </c>
      <c r="V333" t="s">
        <v>2131</v>
      </c>
      <c r="W333" t="s">
        <v>2132</v>
      </c>
      <c r="X333" t="s">
        <v>2133</v>
      </c>
      <c r="Y333" t="s">
        <v>2134</v>
      </c>
      <c r="Z333" t="s">
        <v>2135</v>
      </c>
      <c r="AA333" t="s">
        <v>1145</v>
      </c>
      <c r="AB333" t="s">
        <v>1146</v>
      </c>
      <c r="AC333" t="s">
        <v>74</v>
      </c>
      <c r="AD333" t="s">
        <v>74</v>
      </c>
      <c r="AE333" t="s">
        <v>74</v>
      </c>
      <c r="AF333" t="s">
        <v>74</v>
      </c>
      <c r="AG333">
        <v>54</v>
      </c>
      <c r="AH333">
        <v>15</v>
      </c>
      <c r="AI333">
        <v>15</v>
      </c>
      <c r="AJ333">
        <v>20</v>
      </c>
      <c r="AK333">
        <v>100</v>
      </c>
      <c r="AL333" t="s">
        <v>74</v>
      </c>
      <c r="AM333" t="s">
        <v>74</v>
      </c>
      <c r="AN333" t="s">
        <v>74</v>
      </c>
      <c r="AO333" t="s">
        <v>74</v>
      </c>
      <c r="AP333" t="s">
        <v>416</v>
      </c>
      <c r="AQ333" t="s">
        <v>74</v>
      </c>
      <c r="AR333" t="s">
        <v>74</v>
      </c>
      <c r="AS333" t="s">
        <v>74</v>
      </c>
      <c r="AT333" t="s">
        <v>437</v>
      </c>
      <c r="AU333">
        <v>2020</v>
      </c>
      <c r="AV333">
        <v>10</v>
      </c>
      <c r="AW333">
        <v>1</v>
      </c>
      <c r="AX333" t="s">
        <v>74</v>
      </c>
      <c r="AY333" t="s">
        <v>74</v>
      </c>
      <c r="AZ333" t="s">
        <v>74</v>
      </c>
      <c r="BA333" t="s">
        <v>74</v>
      </c>
      <c r="BB333" t="s">
        <v>74</v>
      </c>
      <c r="BC333" t="s">
        <v>74</v>
      </c>
      <c r="BD333" t="s">
        <v>2136</v>
      </c>
      <c r="BE333" t="s">
        <v>2137</v>
      </c>
      <c r="BF333" t="str">
        <f>HYPERLINK("http://dx.doi.org/10.1002/jev2.12025","http://dx.doi.org/10.1002/jev2.12025")</f>
        <v>http://dx.doi.org/10.1002/jev2.12025</v>
      </c>
      <c r="BG333" t="s">
        <v>74</v>
      </c>
      <c r="BH333" t="s">
        <v>74</v>
      </c>
      <c r="BI333" t="s">
        <v>74</v>
      </c>
      <c r="BJ333" t="s">
        <v>419</v>
      </c>
      <c r="BK333" t="s">
        <v>112</v>
      </c>
      <c r="BL333" t="s">
        <v>419</v>
      </c>
      <c r="BM333" t="s">
        <v>74</v>
      </c>
      <c r="BN333">
        <v>33304477</v>
      </c>
      <c r="BO333" t="s">
        <v>74</v>
      </c>
      <c r="BP333" t="s">
        <v>74</v>
      </c>
      <c r="BQ333" t="s">
        <v>74</v>
      </c>
      <c r="BR333" t="s">
        <v>93</v>
      </c>
      <c r="BS333" t="s">
        <v>2138</v>
      </c>
      <c r="BT333" t="str">
        <f>HYPERLINK("https%3A%2F%2Fwww.webofscience.com%2Fwos%2Fwoscc%2Ffull-record%2FWOS:000610415200005","View Full Record in Web of Science")</f>
        <v>View Full Record in Web of Science</v>
      </c>
    </row>
    <row r="334" spans="1:72" x14ac:dyDescent="0.15">
      <c r="A334" t="s">
        <v>72</v>
      </c>
      <c r="B334" t="s">
        <v>2184</v>
      </c>
      <c r="C334" t="s">
        <v>74</v>
      </c>
      <c r="D334" t="s">
        <v>74</v>
      </c>
      <c r="E334" t="s">
        <v>74</v>
      </c>
      <c r="F334" t="s">
        <v>2185</v>
      </c>
      <c r="G334" t="s">
        <v>74</v>
      </c>
      <c r="H334" t="s">
        <v>74</v>
      </c>
      <c r="I334" t="s">
        <v>2186</v>
      </c>
      <c r="J334" t="s">
        <v>2187</v>
      </c>
      <c r="K334" t="s">
        <v>74</v>
      </c>
      <c r="L334" t="s">
        <v>74</v>
      </c>
      <c r="M334" t="s">
        <v>74</v>
      </c>
      <c r="N334" t="s">
        <v>78</v>
      </c>
      <c r="O334" t="s">
        <v>74</v>
      </c>
      <c r="P334" t="s">
        <v>74</v>
      </c>
      <c r="Q334" t="s">
        <v>74</v>
      </c>
      <c r="R334" t="s">
        <v>74</v>
      </c>
      <c r="S334" t="s">
        <v>74</v>
      </c>
      <c r="T334" t="s">
        <v>2188</v>
      </c>
      <c r="U334" t="s">
        <v>2189</v>
      </c>
      <c r="V334" t="s">
        <v>2190</v>
      </c>
      <c r="W334" t="s">
        <v>2191</v>
      </c>
      <c r="X334" t="s">
        <v>2192</v>
      </c>
      <c r="Y334" t="s">
        <v>2193</v>
      </c>
      <c r="Z334" t="s">
        <v>2194</v>
      </c>
      <c r="AA334" t="s">
        <v>2195</v>
      </c>
      <c r="AB334" t="s">
        <v>2196</v>
      </c>
      <c r="AC334" t="s">
        <v>74</v>
      </c>
      <c r="AD334" t="s">
        <v>74</v>
      </c>
      <c r="AE334" t="s">
        <v>74</v>
      </c>
      <c r="AF334" t="s">
        <v>74</v>
      </c>
      <c r="AG334">
        <v>248</v>
      </c>
      <c r="AH334">
        <v>15</v>
      </c>
      <c r="AI334">
        <v>16</v>
      </c>
      <c r="AJ334">
        <v>10</v>
      </c>
      <c r="AK334">
        <v>42</v>
      </c>
      <c r="AL334" t="s">
        <v>74</v>
      </c>
      <c r="AM334" t="s">
        <v>74</v>
      </c>
      <c r="AN334" t="s">
        <v>74</v>
      </c>
      <c r="AO334" t="s">
        <v>2197</v>
      </c>
      <c r="AP334" t="s">
        <v>2198</v>
      </c>
      <c r="AQ334" t="s">
        <v>74</v>
      </c>
      <c r="AR334" t="s">
        <v>74</v>
      </c>
      <c r="AS334" t="s">
        <v>74</v>
      </c>
      <c r="AT334" t="s">
        <v>503</v>
      </c>
      <c r="AU334">
        <v>2021</v>
      </c>
      <c r="AV334">
        <v>68</v>
      </c>
      <c r="AW334" t="s">
        <v>74</v>
      </c>
      <c r="AX334" t="s">
        <v>74</v>
      </c>
      <c r="AY334" t="s">
        <v>74</v>
      </c>
      <c r="AZ334" t="s">
        <v>74</v>
      </c>
      <c r="BA334" t="s">
        <v>74</v>
      </c>
      <c r="BB334" t="s">
        <v>74</v>
      </c>
      <c r="BC334" t="s">
        <v>74</v>
      </c>
      <c r="BD334">
        <v>101321</v>
      </c>
      <c r="BE334" t="s">
        <v>2199</v>
      </c>
      <c r="BF334" t="str">
        <f>HYPERLINK("http://dx.doi.org/10.1016/j.arr.2021.101321","http://dx.doi.org/10.1016/j.arr.2021.101321")</f>
        <v>http://dx.doi.org/10.1016/j.arr.2021.101321</v>
      </c>
      <c r="BG334" t="s">
        <v>74</v>
      </c>
      <c r="BH334" t="s">
        <v>2200</v>
      </c>
      <c r="BI334" t="s">
        <v>74</v>
      </c>
      <c r="BJ334" t="s">
        <v>292</v>
      </c>
      <c r="BK334" t="s">
        <v>112</v>
      </c>
      <c r="BL334" t="s">
        <v>292</v>
      </c>
      <c r="BM334" t="s">
        <v>74</v>
      </c>
      <c r="BN334">
        <v>33727157</v>
      </c>
      <c r="BO334" t="s">
        <v>74</v>
      </c>
      <c r="BP334" t="s">
        <v>74</v>
      </c>
      <c r="BQ334" t="s">
        <v>74</v>
      </c>
      <c r="BR334" t="s">
        <v>93</v>
      </c>
      <c r="BS334" t="s">
        <v>2201</v>
      </c>
      <c r="BT334" t="str">
        <f>HYPERLINK("https%3A%2F%2Fwww.webofscience.com%2Fwos%2Fwoscc%2Ffull-record%2FWOS:000663077400012","View Full Record in Web of Science")</f>
        <v>View Full Record in Web of Science</v>
      </c>
    </row>
    <row r="335" spans="1:72" x14ac:dyDescent="0.15">
      <c r="A335" t="s">
        <v>72</v>
      </c>
      <c r="B335" t="s">
        <v>2448</v>
      </c>
      <c r="C335" t="s">
        <v>74</v>
      </c>
      <c r="D335" t="s">
        <v>74</v>
      </c>
      <c r="E335" t="s">
        <v>74</v>
      </c>
      <c r="F335" t="s">
        <v>2449</v>
      </c>
      <c r="G335" t="s">
        <v>74</v>
      </c>
      <c r="H335" t="s">
        <v>74</v>
      </c>
      <c r="I335" t="s">
        <v>2450</v>
      </c>
      <c r="J335" t="s">
        <v>2451</v>
      </c>
      <c r="K335" t="s">
        <v>74</v>
      </c>
      <c r="L335" t="s">
        <v>74</v>
      </c>
      <c r="M335" t="s">
        <v>74</v>
      </c>
      <c r="N335" t="s">
        <v>78</v>
      </c>
      <c r="O335" t="s">
        <v>74</v>
      </c>
      <c r="P335" t="s">
        <v>74</v>
      </c>
      <c r="Q335" t="s">
        <v>74</v>
      </c>
      <c r="R335" t="s">
        <v>74</v>
      </c>
      <c r="S335" t="s">
        <v>74</v>
      </c>
      <c r="T335" t="s">
        <v>2452</v>
      </c>
      <c r="U335" t="s">
        <v>2453</v>
      </c>
      <c r="V335" t="s">
        <v>2454</v>
      </c>
      <c r="W335" t="s">
        <v>2455</v>
      </c>
      <c r="X335" t="s">
        <v>2456</v>
      </c>
      <c r="Y335" t="s">
        <v>2457</v>
      </c>
      <c r="Z335" t="s">
        <v>2458</v>
      </c>
      <c r="AA335" t="s">
        <v>2459</v>
      </c>
      <c r="AB335" t="s">
        <v>2460</v>
      </c>
      <c r="AC335" t="s">
        <v>74</v>
      </c>
      <c r="AD335" t="s">
        <v>74</v>
      </c>
      <c r="AE335" t="s">
        <v>74</v>
      </c>
      <c r="AF335" t="s">
        <v>74</v>
      </c>
      <c r="AG335">
        <v>59</v>
      </c>
      <c r="AH335">
        <v>15</v>
      </c>
      <c r="AI335">
        <v>15</v>
      </c>
      <c r="AJ335">
        <v>0</v>
      </c>
      <c r="AK335">
        <v>6</v>
      </c>
      <c r="AL335" t="s">
        <v>74</v>
      </c>
      <c r="AM335" t="s">
        <v>74</v>
      </c>
      <c r="AN335" t="s">
        <v>74</v>
      </c>
      <c r="AO335" t="s">
        <v>2461</v>
      </c>
      <c r="AP335" t="s">
        <v>2462</v>
      </c>
      <c r="AQ335" t="s">
        <v>74</v>
      </c>
      <c r="AR335" t="s">
        <v>74</v>
      </c>
      <c r="AS335" t="s">
        <v>74</v>
      </c>
      <c r="AT335" t="s">
        <v>659</v>
      </c>
      <c r="AU335">
        <v>2020</v>
      </c>
      <c r="AV335">
        <v>319</v>
      </c>
      <c r="AW335">
        <v>3</v>
      </c>
      <c r="AX335" t="s">
        <v>74</v>
      </c>
      <c r="AY335" t="s">
        <v>74</v>
      </c>
      <c r="AZ335" t="s">
        <v>74</v>
      </c>
      <c r="BA335" t="s">
        <v>74</v>
      </c>
      <c r="BB335" t="s">
        <v>2463</v>
      </c>
      <c r="BC335" t="s">
        <v>2464</v>
      </c>
      <c r="BD335" t="s">
        <v>74</v>
      </c>
      <c r="BE335" t="s">
        <v>2465</v>
      </c>
      <c r="BF335" t="str">
        <f>HYPERLINK("http://dx.doi.org/10.1152/ajpendo.00172.2020","http://dx.doi.org/10.1152/ajpendo.00172.2020")</f>
        <v>http://dx.doi.org/10.1152/ajpendo.00172.2020</v>
      </c>
      <c r="BG335" t="s">
        <v>74</v>
      </c>
      <c r="BH335" t="s">
        <v>74</v>
      </c>
      <c r="BI335" t="s">
        <v>74</v>
      </c>
      <c r="BJ335" t="s">
        <v>2466</v>
      </c>
      <c r="BK335" t="s">
        <v>112</v>
      </c>
      <c r="BL335" t="s">
        <v>2466</v>
      </c>
      <c r="BM335" t="s">
        <v>74</v>
      </c>
      <c r="BN335">
        <v>32744099</v>
      </c>
      <c r="BO335" t="s">
        <v>74</v>
      </c>
      <c r="BP335" t="s">
        <v>74</v>
      </c>
      <c r="BQ335" t="s">
        <v>74</v>
      </c>
      <c r="BR335" t="s">
        <v>93</v>
      </c>
      <c r="BS335" t="s">
        <v>2467</v>
      </c>
      <c r="BT335" t="str">
        <f>HYPERLINK("https%3A%2F%2Fwww.webofscience.com%2Fwos%2Fwoscc%2Ffull-record%2FWOS:000572368900013","View Full Record in Web of Science")</f>
        <v>View Full Record in Web of Science</v>
      </c>
    </row>
    <row r="336" spans="1:72" x14ac:dyDescent="0.15">
      <c r="A336" t="s">
        <v>72</v>
      </c>
      <c r="B336" t="s">
        <v>2722</v>
      </c>
      <c r="C336" t="s">
        <v>74</v>
      </c>
      <c r="D336" t="s">
        <v>74</v>
      </c>
      <c r="E336" t="s">
        <v>74</v>
      </c>
      <c r="F336" t="s">
        <v>2723</v>
      </c>
      <c r="G336" t="s">
        <v>74</v>
      </c>
      <c r="H336" t="s">
        <v>74</v>
      </c>
      <c r="I336" t="s">
        <v>2724</v>
      </c>
      <c r="J336" t="s">
        <v>1980</v>
      </c>
      <c r="K336" t="s">
        <v>74</v>
      </c>
      <c r="L336" t="s">
        <v>74</v>
      </c>
      <c r="M336" t="s">
        <v>74</v>
      </c>
      <c r="N336" t="s">
        <v>78</v>
      </c>
      <c r="O336" t="s">
        <v>74</v>
      </c>
      <c r="P336" t="s">
        <v>74</v>
      </c>
      <c r="Q336" t="s">
        <v>74</v>
      </c>
      <c r="R336" t="s">
        <v>74</v>
      </c>
      <c r="S336" t="s">
        <v>74</v>
      </c>
      <c r="T336" t="s">
        <v>2725</v>
      </c>
      <c r="U336" t="s">
        <v>2726</v>
      </c>
      <c r="V336" t="s">
        <v>2727</v>
      </c>
      <c r="W336" t="s">
        <v>2728</v>
      </c>
      <c r="X336" t="s">
        <v>2729</v>
      </c>
      <c r="Y336" t="s">
        <v>2730</v>
      </c>
      <c r="Z336" t="s">
        <v>2731</v>
      </c>
      <c r="AA336" t="s">
        <v>2732</v>
      </c>
      <c r="AB336" t="s">
        <v>2733</v>
      </c>
      <c r="AC336" t="s">
        <v>74</v>
      </c>
      <c r="AD336" t="s">
        <v>74</v>
      </c>
      <c r="AE336" t="s">
        <v>74</v>
      </c>
      <c r="AF336" t="s">
        <v>74</v>
      </c>
      <c r="AG336">
        <v>41</v>
      </c>
      <c r="AH336">
        <v>15</v>
      </c>
      <c r="AI336">
        <v>15</v>
      </c>
      <c r="AJ336">
        <v>9</v>
      </c>
      <c r="AK336">
        <v>15</v>
      </c>
      <c r="AL336" t="s">
        <v>74</v>
      </c>
      <c r="AM336" t="s">
        <v>74</v>
      </c>
      <c r="AN336" t="s">
        <v>74</v>
      </c>
      <c r="AO336" t="s">
        <v>1990</v>
      </c>
      <c r="AP336" t="s">
        <v>1991</v>
      </c>
      <c r="AQ336" t="s">
        <v>74</v>
      </c>
      <c r="AR336" t="s">
        <v>74</v>
      </c>
      <c r="AS336" t="s">
        <v>74</v>
      </c>
      <c r="AT336" t="s">
        <v>503</v>
      </c>
      <c r="AU336">
        <v>2021</v>
      </c>
      <c r="AV336">
        <v>23</v>
      </c>
      <c r="AW336">
        <v>7</v>
      </c>
      <c r="AX336" t="s">
        <v>74</v>
      </c>
      <c r="AY336" t="s">
        <v>74</v>
      </c>
      <c r="AZ336" t="s">
        <v>74</v>
      </c>
      <c r="BA336" t="s">
        <v>74</v>
      </c>
      <c r="BB336">
        <v>1087</v>
      </c>
      <c r="BC336">
        <v>1099</v>
      </c>
      <c r="BD336" t="s">
        <v>74</v>
      </c>
      <c r="BE336" t="s">
        <v>2734</v>
      </c>
      <c r="BF336" t="str">
        <f>HYPERLINK("http://dx.doi.org/10.1093/neuonc/noab012","http://dx.doi.org/10.1093/neuonc/noab012")</f>
        <v>http://dx.doi.org/10.1093/neuonc/noab012</v>
      </c>
      <c r="BG336" t="s">
        <v>74</v>
      </c>
      <c r="BH336" t="s">
        <v>2735</v>
      </c>
      <c r="BI336" t="s">
        <v>74</v>
      </c>
      <c r="BJ336" t="s">
        <v>1993</v>
      </c>
      <c r="BK336" t="s">
        <v>112</v>
      </c>
      <c r="BL336" t="s">
        <v>1994</v>
      </c>
      <c r="BM336" t="s">
        <v>74</v>
      </c>
      <c r="BN336">
        <v>33508126</v>
      </c>
      <c r="BO336" t="s">
        <v>74</v>
      </c>
      <c r="BP336" t="s">
        <v>74</v>
      </c>
      <c r="BQ336" t="s">
        <v>74</v>
      </c>
      <c r="BR336" t="s">
        <v>93</v>
      </c>
      <c r="BS336" t="s">
        <v>2736</v>
      </c>
      <c r="BT336" t="str">
        <f>HYPERLINK("https%3A%2F%2Fwww.webofscience.com%2Fwos%2Fwoscc%2Ffull-record%2FWOS:000715361700009","View Full Record in Web of Science")</f>
        <v>View Full Record in Web of Science</v>
      </c>
    </row>
    <row r="337" spans="1:72" x14ac:dyDescent="0.15">
      <c r="A337" t="s">
        <v>72</v>
      </c>
      <c r="B337" t="s">
        <v>6653</v>
      </c>
      <c r="C337" t="s">
        <v>74</v>
      </c>
      <c r="D337" t="s">
        <v>74</v>
      </c>
      <c r="E337" t="s">
        <v>74</v>
      </c>
      <c r="F337" t="s">
        <v>6654</v>
      </c>
      <c r="G337" t="s">
        <v>74</v>
      </c>
      <c r="H337" t="s">
        <v>74</v>
      </c>
      <c r="I337" t="s">
        <v>6655</v>
      </c>
      <c r="J337" t="s">
        <v>4218</v>
      </c>
      <c r="K337" t="s">
        <v>74</v>
      </c>
      <c r="L337" t="s">
        <v>74</v>
      </c>
      <c r="M337" t="s">
        <v>74</v>
      </c>
      <c r="N337" t="s">
        <v>78</v>
      </c>
      <c r="O337" t="s">
        <v>74</v>
      </c>
      <c r="P337" t="s">
        <v>74</v>
      </c>
      <c r="Q337" t="s">
        <v>74</v>
      </c>
      <c r="R337" t="s">
        <v>74</v>
      </c>
      <c r="S337" t="s">
        <v>74</v>
      </c>
      <c r="T337" t="s">
        <v>6656</v>
      </c>
      <c r="U337" t="s">
        <v>6657</v>
      </c>
      <c r="V337" t="s">
        <v>6658</v>
      </c>
      <c r="W337" t="s">
        <v>6659</v>
      </c>
      <c r="X337" t="s">
        <v>6660</v>
      </c>
      <c r="Y337" t="s">
        <v>6661</v>
      </c>
      <c r="Z337" t="s">
        <v>6662</v>
      </c>
      <c r="AA337" t="s">
        <v>74</v>
      </c>
      <c r="AB337" t="s">
        <v>6663</v>
      </c>
      <c r="AC337" t="s">
        <v>74</v>
      </c>
      <c r="AD337" t="s">
        <v>74</v>
      </c>
      <c r="AE337" t="s">
        <v>74</v>
      </c>
      <c r="AF337" t="s">
        <v>74</v>
      </c>
      <c r="AG337">
        <v>60</v>
      </c>
      <c r="AH337">
        <v>15</v>
      </c>
      <c r="AI337">
        <v>15</v>
      </c>
      <c r="AJ337">
        <v>25</v>
      </c>
      <c r="AK337">
        <v>121</v>
      </c>
      <c r="AL337" t="s">
        <v>74</v>
      </c>
      <c r="AM337" t="s">
        <v>74</v>
      </c>
      <c r="AN337" t="s">
        <v>74</v>
      </c>
      <c r="AO337" t="s">
        <v>4226</v>
      </c>
      <c r="AP337" t="s">
        <v>4227</v>
      </c>
      <c r="AQ337" t="s">
        <v>74</v>
      </c>
      <c r="AR337" t="s">
        <v>74</v>
      </c>
      <c r="AS337" t="s">
        <v>74</v>
      </c>
      <c r="AT337" t="s">
        <v>4316</v>
      </c>
      <c r="AU337">
        <v>2020</v>
      </c>
      <c r="AV337">
        <v>1130</v>
      </c>
      <c r="AW337" t="s">
        <v>74</v>
      </c>
      <c r="AX337" t="s">
        <v>74</v>
      </c>
      <c r="AY337" t="s">
        <v>74</v>
      </c>
      <c r="AZ337" t="s">
        <v>74</v>
      </c>
      <c r="BA337" t="s">
        <v>74</v>
      </c>
      <c r="BB337">
        <v>1</v>
      </c>
      <c r="BC337">
        <v>9</v>
      </c>
      <c r="BD337" t="s">
        <v>74</v>
      </c>
      <c r="BE337" t="s">
        <v>6664</v>
      </c>
      <c r="BF337" t="str">
        <f>HYPERLINK("http://dx.doi.org/10.1016/j.aca.2020.07.012","http://dx.doi.org/10.1016/j.aca.2020.07.012")</f>
        <v>http://dx.doi.org/10.1016/j.aca.2020.07.012</v>
      </c>
      <c r="BG337" t="s">
        <v>74</v>
      </c>
      <c r="BH337" t="s">
        <v>74</v>
      </c>
      <c r="BI337" t="s">
        <v>74</v>
      </c>
      <c r="BJ337" t="s">
        <v>1196</v>
      </c>
      <c r="BK337" t="s">
        <v>112</v>
      </c>
      <c r="BL337" t="s">
        <v>1197</v>
      </c>
      <c r="BM337" t="s">
        <v>74</v>
      </c>
      <c r="BN337">
        <v>32892927</v>
      </c>
      <c r="BO337" t="s">
        <v>74</v>
      </c>
      <c r="BP337" t="s">
        <v>74</v>
      </c>
      <c r="BQ337" t="s">
        <v>74</v>
      </c>
      <c r="BR337" t="s">
        <v>93</v>
      </c>
      <c r="BS337" t="s">
        <v>6665</v>
      </c>
      <c r="BT337" t="str">
        <f>HYPERLINK("https%3A%2F%2Fwww.webofscience.com%2Fwos%2Fwoscc%2Ffull-record%2FWOS:000569059300001","View Full Record in Web of Science")</f>
        <v>View Full Record in Web of Science</v>
      </c>
    </row>
    <row r="338" spans="1:72" x14ac:dyDescent="0.15">
      <c r="A338" t="s">
        <v>72</v>
      </c>
      <c r="B338" t="s">
        <v>6825</v>
      </c>
      <c r="C338" t="s">
        <v>74</v>
      </c>
      <c r="D338" t="s">
        <v>74</v>
      </c>
      <c r="E338" t="s">
        <v>74</v>
      </c>
      <c r="F338" t="s">
        <v>6826</v>
      </c>
      <c r="G338" t="s">
        <v>74</v>
      </c>
      <c r="H338" t="s">
        <v>74</v>
      </c>
      <c r="I338" t="s">
        <v>6827</v>
      </c>
      <c r="J338" t="s">
        <v>1980</v>
      </c>
      <c r="K338" t="s">
        <v>74</v>
      </c>
      <c r="L338" t="s">
        <v>74</v>
      </c>
      <c r="M338" t="s">
        <v>74</v>
      </c>
      <c r="N338" t="s">
        <v>78</v>
      </c>
      <c r="O338" t="s">
        <v>74</v>
      </c>
      <c r="P338" t="s">
        <v>74</v>
      </c>
      <c r="Q338" t="s">
        <v>74</v>
      </c>
      <c r="R338" t="s">
        <v>74</v>
      </c>
      <c r="S338" t="s">
        <v>74</v>
      </c>
      <c r="T338" t="s">
        <v>6828</v>
      </c>
      <c r="U338" t="s">
        <v>6829</v>
      </c>
      <c r="V338" t="s">
        <v>6830</v>
      </c>
      <c r="W338" t="s">
        <v>6831</v>
      </c>
      <c r="X338" t="s">
        <v>6832</v>
      </c>
      <c r="Y338" t="s">
        <v>6833</v>
      </c>
      <c r="Z338" t="s">
        <v>6834</v>
      </c>
      <c r="AA338" t="s">
        <v>694</v>
      </c>
      <c r="AB338" t="s">
        <v>6835</v>
      </c>
      <c r="AC338" t="s">
        <v>74</v>
      </c>
      <c r="AD338" t="s">
        <v>74</v>
      </c>
      <c r="AE338" t="s">
        <v>74</v>
      </c>
      <c r="AF338" t="s">
        <v>74</v>
      </c>
      <c r="AG338">
        <v>46</v>
      </c>
      <c r="AH338">
        <v>15</v>
      </c>
      <c r="AI338">
        <v>17</v>
      </c>
      <c r="AJ338">
        <v>6</v>
      </c>
      <c r="AK338">
        <v>18</v>
      </c>
      <c r="AL338" t="s">
        <v>74</v>
      </c>
      <c r="AM338" t="s">
        <v>74</v>
      </c>
      <c r="AN338" t="s">
        <v>74</v>
      </c>
      <c r="AO338" t="s">
        <v>1990</v>
      </c>
      <c r="AP338" t="s">
        <v>1991</v>
      </c>
      <c r="AQ338" t="s">
        <v>74</v>
      </c>
      <c r="AR338" t="s">
        <v>74</v>
      </c>
      <c r="AS338" t="s">
        <v>74</v>
      </c>
      <c r="AT338" t="s">
        <v>437</v>
      </c>
      <c r="AU338">
        <v>2018</v>
      </c>
      <c r="AV338">
        <v>20</v>
      </c>
      <c r="AW338">
        <v>10</v>
      </c>
      <c r="AX338" t="s">
        <v>74</v>
      </c>
      <c r="AY338" t="s">
        <v>74</v>
      </c>
      <c r="AZ338" t="s">
        <v>74</v>
      </c>
      <c r="BA338" t="s">
        <v>74</v>
      </c>
      <c r="BB338">
        <v>1310</v>
      </c>
      <c r="BC338">
        <v>1320</v>
      </c>
      <c r="BD338" t="s">
        <v>74</v>
      </c>
      <c r="BE338" t="s">
        <v>6836</v>
      </c>
      <c r="BF338" t="str">
        <f>HYPERLINK("http://dx.doi.org/10.1093/neuonc/noy058","http://dx.doi.org/10.1093/neuonc/noy058")</f>
        <v>http://dx.doi.org/10.1093/neuonc/noy058</v>
      </c>
      <c r="BG338" t="s">
        <v>74</v>
      </c>
      <c r="BH338" t="s">
        <v>74</v>
      </c>
      <c r="BI338" t="s">
        <v>74</v>
      </c>
      <c r="BJ338" t="s">
        <v>1993</v>
      </c>
      <c r="BK338" t="s">
        <v>112</v>
      </c>
      <c r="BL338" t="s">
        <v>1994</v>
      </c>
      <c r="BM338" t="s">
        <v>74</v>
      </c>
      <c r="BN338">
        <v>29660021</v>
      </c>
      <c r="BO338" t="s">
        <v>74</v>
      </c>
      <c r="BP338" t="s">
        <v>74</v>
      </c>
      <c r="BQ338" t="s">
        <v>74</v>
      </c>
      <c r="BR338" t="s">
        <v>93</v>
      </c>
      <c r="BS338" t="s">
        <v>6837</v>
      </c>
      <c r="BT338" t="str">
        <f>HYPERLINK("https%3A%2F%2Fwww.webofscience.com%2Fwos%2Fwoscc%2Ffull-record%2FWOS:000443563000006","View Full Record in Web of Science")</f>
        <v>View Full Record in Web of Science</v>
      </c>
    </row>
    <row r="339" spans="1:72" x14ac:dyDescent="0.15">
      <c r="A339" t="s">
        <v>312</v>
      </c>
      <c r="B339" t="s">
        <v>7590</v>
      </c>
      <c r="C339" t="s">
        <v>74</v>
      </c>
      <c r="D339" t="s">
        <v>7591</v>
      </c>
      <c r="E339" t="s">
        <v>74</v>
      </c>
      <c r="F339" t="s">
        <v>7592</v>
      </c>
      <c r="G339" t="s">
        <v>74</v>
      </c>
      <c r="H339" t="s">
        <v>74</v>
      </c>
      <c r="I339" t="s">
        <v>7593</v>
      </c>
      <c r="J339" t="s">
        <v>7594</v>
      </c>
      <c r="K339" t="s">
        <v>7595</v>
      </c>
      <c r="L339" t="s">
        <v>74</v>
      </c>
      <c r="M339" t="s">
        <v>74</v>
      </c>
      <c r="N339" t="s">
        <v>319</v>
      </c>
      <c r="O339" t="s">
        <v>74</v>
      </c>
      <c r="P339" t="s">
        <v>74</v>
      </c>
      <c r="Q339" t="s">
        <v>74</v>
      </c>
      <c r="R339" t="s">
        <v>74</v>
      </c>
      <c r="S339" t="s">
        <v>74</v>
      </c>
      <c r="T339" t="s">
        <v>74</v>
      </c>
      <c r="U339" t="s">
        <v>7596</v>
      </c>
      <c r="V339" t="s">
        <v>74</v>
      </c>
      <c r="W339" t="s">
        <v>7597</v>
      </c>
      <c r="X339" t="s">
        <v>7598</v>
      </c>
      <c r="Y339" t="s">
        <v>7599</v>
      </c>
      <c r="Z339" t="s">
        <v>7600</v>
      </c>
      <c r="AA339" t="s">
        <v>7601</v>
      </c>
      <c r="AB339" t="s">
        <v>7602</v>
      </c>
      <c r="AC339" t="s">
        <v>74</v>
      </c>
      <c r="AD339" t="s">
        <v>74</v>
      </c>
      <c r="AE339" t="s">
        <v>74</v>
      </c>
      <c r="AF339" t="s">
        <v>74</v>
      </c>
      <c r="AG339">
        <v>175</v>
      </c>
      <c r="AH339">
        <v>15</v>
      </c>
      <c r="AI339">
        <v>16</v>
      </c>
      <c r="AJ339">
        <v>1</v>
      </c>
      <c r="AK339">
        <v>28</v>
      </c>
      <c r="AL339" t="s">
        <v>74</v>
      </c>
      <c r="AM339" t="s">
        <v>74</v>
      </c>
      <c r="AN339" t="s">
        <v>74</v>
      </c>
      <c r="AO339" t="s">
        <v>7603</v>
      </c>
      <c r="AP339" t="s">
        <v>7604</v>
      </c>
      <c r="AQ339" t="s">
        <v>7605</v>
      </c>
      <c r="AR339" t="s">
        <v>74</v>
      </c>
      <c r="AS339" t="s">
        <v>74</v>
      </c>
      <c r="AT339" t="s">
        <v>74</v>
      </c>
      <c r="AU339">
        <v>2020</v>
      </c>
      <c r="AV339">
        <v>215</v>
      </c>
      <c r="AW339" t="s">
        <v>74</v>
      </c>
      <c r="AX339" t="s">
        <v>74</v>
      </c>
      <c r="AY339" t="s">
        <v>74</v>
      </c>
      <c r="AZ339" t="s">
        <v>74</v>
      </c>
      <c r="BA339" t="s">
        <v>74</v>
      </c>
      <c r="BB339">
        <v>319</v>
      </c>
      <c r="BC339">
        <v>344</v>
      </c>
      <c r="BD339" t="s">
        <v>74</v>
      </c>
      <c r="BE339" t="s">
        <v>7606</v>
      </c>
      <c r="BF339" t="str">
        <f>HYPERLINK("http://dx.doi.org/10.1007/978-3-030-26439-0_17","http://dx.doi.org/10.1007/978-3-030-26439-0_17")</f>
        <v>http://dx.doi.org/10.1007/978-3-030-26439-0_17</v>
      </c>
      <c r="BG339" t="s">
        <v>7607</v>
      </c>
      <c r="BH339" t="s">
        <v>74</v>
      </c>
      <c r="BI339" t="s">
        <v>74</v>
      </c>
      <c r="BJ339" t="s">
        <v>2353</v>
      </c>
      <c r="BK339" t="s">
        <v>334</v>
      </c>
      <c r="BL339" t="s">
        <v>2353</v>
      </c>
      <c r="BM339" t="s">
        <v>74</v>
      </c>
      <c r="BN339">
        <v>31605237</v>
      </c>
      <c r="BO339" t="s">
        <v>74</v>
      </c>
      <c r="BP339" t="s">
        <v>74</v>
      </c>
      <c r="BQ339" t="s">
        <v>74</v>
      </c>
      <c r="BR339" t="s">
        <v>93</v>
      </c>
      <c r="BS339" t="s">
        <v>7608</v>
      </c>
      <c r="BT339" t="str">
        <f>HYPERLINK("https%3A%2F%2Fwww.webofscience.com%2Fwos%2Fwoscc%2Ffull-record%2FWOS:000562810500017","View Full Record in Web of Science")</f>
        <v>View Full Record in Web of Science</v>
      </c>
    </row>
    <row r="340" spans="1:72" x14ac:dyDescent="0.15">
      <c r="A340" t="s">
        <v>72</v>
      </c>
      <c r="B340" t="s">
        <v>7904</v>
      </c>
      <c r="C340" t="s">
        <v>74</v>
      </c>
      <c r="D340" t="s">
        <v>74</v>
      </c>
      <c r="E340" t="s">
        <v>74</v>
      </c>
      <c r="F340" t="s">
        <v>7905</v>
      </c>
      <c r="G340" t="s">
        <v>74</v>
      </c>
      <c r="H340" t="s">
        <v>74</v>
      </c>
      <c r="I340" t="s">
        <v>7906</v>
      </c>
      <c r="J340" t="s">
        <v>6023</v>
      </c>
      <c r="K340" t="s">
        <v>74</v>
      </c>
      <c r="L340" t="s">
        <v>74</v>
      </c>
      <c r="M340" t="s">
        <v>74</v>
      </c>
      <c r="N340" t="s">
        <v>78</v>
      </c>
      <c r="O340" t="s">
        <v>74</v>
      </c>
      <c r="P340" t="s">
        <v>74</v>
      </c>
      <c r="Q340" t="s">
        <v>74</v>
      </c>
      <c r="R340" t="s">
        <v>74</v>
      </c>
      <c r="S340" t="s">
        <v>74</v>
      </c>
      <c r="T340" t="s">
        <v>74</v>
      </c>
      <c r="U340" t="s">
        <v>7907</v>
      </c>
      <c r="V340" t="s">
        <v>7908</v>
      </c>
      <c r="W340" t="s">
        <v>7909</v>
      </c>
      <c r="X340" t="s">
        <v>7910</v>
      </c>
      <c r="Y340" t="s">
        <v>7911</v>
      </c>
      <c r="Z340" t="s">
        <v>7912</v>
      </c>
      <c r="AA340" t="s">
        <v>74</v>
      </c>
      <c r="AB340" t="s">
        <v>7913</v>
      </c>
      <c r="AC340" t="s">
        <v>74</v>
      </c>
      <c r="AD340" t="s">
        <v>74</v>
      </c>
      <c r="AE340" t="s">
        <v>74</v>
      </c>
      <c r="AF340" t="s">
        <v>74</v>
      </c>
      <c r="AG340">
        <v>55</v>
      </c>
      <c r="AH340">
        <v>15</v>
      </c>
      <c r="AI340">
        <v>15</v>
      </c>
      <c r="AJ340">
        <v>4</v>
      </c>
      <c r="AK340">
        <v>16</v>
      </c>
      <c r="AL340" t="s">
        <v>74</v>
      </c>
      <c r="AM340" t="s">
        <v>74</v>
      </c>
      <c r="AN340" t="s">
        <v>74</v>
      </c>
      <c r="AO340" t="s">
        <v>6031</v>
      </c>
      <c r="AP340" t="s">
        <v>6032</v>
      </c>
      <c r="AQ340" t="s">
        <v>74</v>
      </c>
      <c r="AR340" t="s">
        <v>74</v>
      </c>
      <c r="AS340" t="s">
        <v>74</v>
      </c>
      <c r="AT340" t="s">
        <v>129</v>
      </c>
      <c r="AU340">
        <v>2020</v>
      </c>
      <c r="AV340">
        <v>24</v>
      </c>
      <c r="AW340">
        <v>2</v>
      </c>
      <c r="AX340" t="s">
        <v>74</v>
      </c>
      <c r="AY340" t="s">
        <v>74</v>
      </c>
      <c r="AZ340" t="s">
        <v>74</v>
      </c>
      <c r="BA340" t="s">
        <v>74</v>
      </c>
      <c r="BB340">
        <v>125</v>
      </c>
      <c r="BC340">
        <v>132</v>
      </c>
      <c r="BD340" t="s">
        <v>74</v>
      </c>
      <c r="BE340" t="s">
        <v>7914</v>
      </c>
      <c r="BF340" t="str">
        <f>HYPERLINK("http://dx.doi.org/10.1007/s40291-019-00444-8","http://dx.doi.org/10.1007/s40291-019-00444-8")</f>
        <v>http://dx.doi.org/10.1007/s40291-019-00444-8</v>
      </c>
      <c r="BG340" t="s">
        <v>74</v>
      </c>
      <c r="BH340" t="s">
        <v>7915</v>
      </c>
      <c r="BI340" t="s">
        <v>74</v>
      </c>
      <c r="BJ340" t="s">
        <v>6034</v>
      </c>
      <c r="BK340" t="s">
        <v>112</v>
      </c>
      <c r="BL340" t="s">
        <v>6034</v>
      </c>
      <c r="BM340" t="s">
        <v>74</v>
      </c>
      <c r="BN340">
        <v>31919754</v>
      </c>
      <c r="BO340" t="s">
        <v>74</v>
      </c>
      <c r="BP340" t="s">
        <v>74</v>
      </c>
      <c r="BQ340" t="s">
        <v>74</v>
      </c>
      <c r="BR340" t="s">
        <v>93</v>
      </c>
      <c r="BS340" t="s">
        <v>7916</v>
      </c>
      <c r="BT340" t="str">
        <f>HYPERLINK("https%3A%2F%2Fwww.webofscience.com%2Fwos%2Fwoscc%2Ffull-record%2FWOS:000516282900001","View Full Record in Web of Science")</f>
        <v>View Full Record in Web of Science</v>
      </c>
    </row>
    <row r="341" spans="1:72" x14ac:dyDescent="0.15">
      <c r="A341" t="s">
        <v>72</v>
      </c>
      <c r="B341" t="s">
        <v>8269</v>
      </c>
      <c r="C341" t="s">
        <v>74</v>
      </c>
      <c r="D341" t="s">
        <v>74</v>
      </c>
      <c r="E341" t="s">
        <v>74</v>
      </c>
      <c r="F341" t="s">
        <v>8270</v>
      </c>
      <c r="G341" t="s">
        <v>74</v>
      </c>
      <c r="H341" t="s">
        <v>74</v>
      </c>
      <c r="I341" t="s">
        <v>8271</v>
      </c>
      <c r="J341" t="s">
        <v>8272</v>
      </c>
      <c r="K341" t="s">
        <v>74</v>
      </c>
      <c r="L341" t="s">
        <v>74</v>
      </c>
      <c r="M341" t="s">
        <v>74</v>
      </c>
      <c r="N341" t="s">
        <v>78</v>
      </c>
      <c r="O341" t="s">
        <v>74</v>
      </c>
      <c r="P341" t="s">
        <v>74</v>
      </c>
      <c r="Q341" t="s">
        <v>74</v>
      </c>
      <c r="R341" t="s">
        <v>74</v>
      </c>
      <c r="S341" t="s">
        <v>74</v>
      </c>
      <c r="T341" t="s">
        <v>74</v>
      </c>
      <c r="U341" t="s">
        <v>8273</v>
      </c>
      <c r="V341" t="s">
        <v>8274</v>
      </c>
      <c r="W341" t="s">
        <v>8275</v>
      </c>
      <c r="X341" t="s">
        <v>8276</v>
      </c>
      <c r="Y341" t="s">
        <v>8277</v>
      </c>
      <c r="Z341" t="s">
        <v>8278</v>
      </c>
      <c r="AA341" t="s">
        <v>8279</v>
      </c>
      <c r="AB341" t="s">
        <v>8280</v>
      </c>
      <c r="AC341" t="s">
        <v>74</v>
      </c>
      <c r="AD341" t="s">
        <v>74</v>
      </c>
      <c r="AE341" t="s">
        <v>74</v>
      </c>
      <c r="AF341" t="s">
        <v>74</v>
      </c>
      <c r="AG341">
        <v>56</v>
      </c>
      <c r="AH341">
        <v>15</v>
      </c>
      <c r="AI341">
        <v>15</v>
      </c>
      <c r="AJ341">
        <v>1</v>
      </c>
      <c r="AK341">
        <v>11</v>
      </c>
      <c r="AL341" t="s">
        <v>74</v>
      </c>
      <c r="AM341" t="s">
        <v>74</v>
      </c>
      <c r="AN341" t="s">
        <v>74</v>
      </c>
      <c r="AO341" t="s">
        <v>8281</v>
      </c>
      <c r="AP341" t="s">
        <v>8282</v>
      </c>
      <c r="AQ341" t="s">
        <v>74</v>
      </c>
      <c r="AR341" t="s">
        <v>74</v>
      </c>
      <c r="AS341" t="s">
        <v>74</v>
      </c>
      <c r="AT341" t="s">
        <v>3885</v>
      </c>
      <c r="AU341">
        <v>2021</v>
      </c>
      <c r="AV341">
        <v>218</v>
      </c>
      <c r="AW341">
        <v>3</v>
      </c>
      <c r="AX341" t="s">
        <v>74</v>
      </c>
      <c r="AY341" t="s">
        <v>74</v>
      </c>
      <c r="AZ341" t="s">
        <v>74</v>
      </c>
      <c r="BA341" t="s">
        <v>74</v>
      </c>
      <c r="BB341" t="s">
        <v>74</v>
      </c>
      <c r="BC341" t="s">
        <v>74</v>
      </c>
      <c r="BD341" t="s">
        <v>8283</v>
      </c>
      <c r="BE341" t="s">
        <v>8284</v>
      </c>
      <c r="BF341" t="str">
        <f>HYPERLINK("http://dx.doi.org/10.1084/jem.20200551","http://dx.doi.org/10.1084/jem.20200551")</f>
        <v>http://dx.doi.org/10.1084/jem.20200551</v>
      </c>
      <c r="BG341" t="s">
        <v>74</v>
      </c>
      <c r="BH341" t="s">
        <v>74</v>
      </c>
      <c r="BI341" t="s">
        <v>74</v>
      </c>
      <c r="BJ341" t="s">
        <v>6322</v>
      </c>
      <c r="BK341" t="s">
        <v>112</v>
      </c>
      <c r="BL341" t="s">
        <v>6323</v>
      </c>
      <c r="BM341" t="s">
        <v>74</v>
      </c>
      <c r="BN341">
        <v>33275138</v>
      </c>
      <c r="BO341" t="s">
        <v>74</v>
      </c>
      <c r="BP341" t="s">
        <v>74</v>
      </c>
      <c r="BQ341" t="s">
        <v>74</v>
      </c>
      <c r="BR341" t="s">
        <v>93</v>
      </c>
      <c r="BS341" t="s">
        <v>8285</v>
      </c>
      <c r="BT341" t="str">
        <f>HYPERLINK("https%3A%2F%2Fwww.webofscience.com%2Fwos%2Fwoscc%2Ffull-record%2FWOS:000625357900001","View Full Record in Web of Science")</f>
        <v>View Full Record in Web of Science</v>
      </c>
    </row>
    <row r="342" spans="1:72" x14ac:dyDescent="0.15">
      <c r="A342" t="s">
        <v>72</v>
      </c>
      <c r="B342" t="s">
        <v>8335</v>
      </c>
      <c r="C342" t="s">
        <v>74</v>
      </c>
      <c r="D342" t="s">
        <v>74</v>
      </c>
      <c r="E342" t="s">
        <v>74</v>
      </c>
      <c r="F342" t="s">
        <v>8335</v>
      </c>
      <c r="G342" t="s">
        <v>74</v>
      </c>
      <c r="H342" t="s">
        <v>74</v>
      </c>
      <c r="I342" t="s">
        <v>8336</v>
      </c>
      <c r="J342" t="s">
        <v>8337</v>
      </c>
      <c r="K342" t="s">
        <v>74</v>
      </c>
      <c r="L342" t="s">
        <v>74</v>
      </c>
      <c r="M342" t="s">
        <v>74</v>
      </c>
      <c r="N342" t="s">
        <v>78</v>
      </c>
      <c r="O342" t="s">
        <v>74</v>
      </c>
      <c r="P342" t="s">
        <v>74</v>
      </c>
      <c r="Q342" t="s">
        <v>74</v>
      </c>
      <c r="R342" t="s">
        <v>74</v>
      </c>
      <c r="S342" t="s">
        <v>74</v>
      </c>
      <c r="T342" t="s">
        <v>74</v>
      </c>
      <c r="U342" t="s">
        <v>8338</v>
      </c>
      <c r="V342" t="s">
        <v>8339</v>
      </c>
      <c r="W342" t="s">
        <v>8340</v>
      </c>
      <c r="X342" t="s">
        <v>8341</v>
      </c>
      <c r="Y342" t="s">
        <v>8342</v>
      </c>
      <c r="Z342" t="s">
        <v>8343</v>
      </c>
      <c r="AA342" t="s">
        <v>8344</v>
      </c>
      <c r="AB342" t="s">
        <v>8345</v>
      </c>
      <c r="AC342" t="s">
        <v>74</v>
      </c>
      <c r="AD342" t="s">
        <v>74</v>
      </c>
      <c r="AE342" t="s">
        <v>74</v>
      </c>
      <c r="AF342" t="s">
        <v>74</v>
      </c>
      <c r="AG342">
        <v>28</v>
      </c>
      <c r="AH342">
        <v>15</v>
      </c>
      <c r="AI342">
        <v>15</v>
      </c>
      <c r="AJ342">
        <v>0</v>
      </c>
      <c r="AK342">
        <v>4</v>
      </c>
      <c r="AL342" t="s">
        <v>74</v>
      </c>
      <c r="AM342" t="s">
        <v>74</v>
      </c>
      <c r="AN342" t="s">
        <v>74</v>
      </c>
      <c r="AO342" t="s">
        <v>8346</v>
      </c>
      <c r="AP342" t="s">
        <v>74</v>
      </c>
      <c r="AQ342" t="s">
        <v>74</v>
      </c>
      <c r="AR342" t="s">
        <v>74</v>
      </c>
      <c r="AS342" t="s">
        <v>74</v>
      </c>
      <c r="AT342" t="s">
        <v>503</v>
      </c>
      <c r="AU342">
        <v>2005</v>
      </c>
      <c r="AV342">
        <v>12</v>
      </c>
      <c r="AW342">
        <v>7</v>
      </c>
      <c r="AX342" t="s">
        <v>74</v>
      </c>
      <c r="AY342" t="s">
        <v>74</v>
      </c>
      <c r="AZ342" t="s">
        <v>74</v>
      </c>
      <c r="BA342" t="s">
        <v>74</v>
      </c>
      <c r="BB342">
        <v>814</v>
      </c>
      <c r="BC342">
        <v>820</v>
      </c>
      <c r="BD342" t="s">
        <v>74</v>
      </c>
      <c r="BE342" t="s">
        <v>8347</v>
      </c>
      <c r="BF342" t="str">
        <f>HYPERLINK("http://dx.doi.org/10.1128/CDLI.12.7.814-820.2005","http://dx.doi.org/10.1128/CDLI.12.7.814-820.2005")</f>
        <v>http://dx.doi.org/10.1128/CDLI.12.7.814-820.2005</v>
      </c>
      <c r="BG342" t="s">
        <v>74</v>
      </c>
      <c r="BH342" t="s">
        <v>74</v>
      </c>
      <c r="BI342" t="s">
        <v>74</v>
      </c>
      <c r="BJ342" t="s">
        <v>1132</v>
      </c>
      <c r="BK342" t="s">
        <v>112</v>
      </c>
      <c r="BL342" t="s">
        <v>1132</v>
      </c>
      <c r="BM342" t="s">
        <v>74</v>
      </c>
      <c r="BN342">
        <v>16002628</v>
      </c>
      <c r="BO342" t="s">
        <v>74</v>
      </c>
      <c r="BP342" t="s">
        <v>74</v>
      </c>
      <c r="BQ342" t="s">
        <v>74</v>
      </c>
      <c r="BR342" t="s">
        <v>93</v>
      </c>
      <c r="BS342" t="s">
        <v>8348</v>
      </c>
      <c r="BT342" t="str">
        <f>HYPERLINK("https%3A%2F%2Fwww.webofscience.com%2Fwos%2Fwoscc%2Ffull-record%2FWOS:000231407600003","View Full Record in Web of Science")</f>
        <v>View Full Record in Web of Science</v>
      </c>
    </row>
    <row r="343" spans="1:72" x14ac:dyDescent="0.15">
      <c r="A343" t="s">
        <v>72</v>
      </c>
      <c r="B343" t="s">
        <v>8440</v>
      </c>
      <c r="C343" t="s">
        <v>74</v>
      </c>
      <c r="D343" t="s">
        <v>74</v>
      </c>
      <c r="E343" t="s">
        <v>74</v>
      </c>
      <c r="F343" t="s">
        <v>8441</v>
      </c>
      <c r="G343" t="s">
        <v>74</v>
      </c>
      <c r="H343" t="s">
        <v>74</v>
      </c>
      <c r="I343" t="s">
        <v>8442</v>
      </c>
      <c r="J343" t="s">
        <v>2013</v>
      </c>
      <c r="K343" t="s">
        <v>74</v>
      </c>
      <c r="L343" t="s">
        <v>74</v>
      </c>
      <c r="M343" t="s">
        <v>74</v>
      </c>
      <c r="N343" t="s">
        <v>78</v>
      </c>
      <c r="O343" t="s">
        <v>74</v>
      </c>
      <c r="P343" t="s">
        <v>74</v>
      </c>
      <c r="Q343" t="s">
        <v>74</v>
      </c>
      <c r="R343" t="s">
        <v>74</v>
      </c>
      <c r="S343" t="s">
        <v>74</v>
      </c>
      <c r="T343" t="s">
        <v>74</v>
      </c>
      <c r="U343" t="s">
        <v>8443</v>
      </c>
      <c r="V343" t="s">
        <v>8444</v>
      </c>
      <c r="W343" t="s">
        <v>8445</v>
      </c>
      <c r="X343" t="s">
        <v>8446</v>
      </c>
      <c r="Y343" t="s">
        <v>8447</v>
      </c>
      <c r="Z343" t="s">
        <v>8448</v>
      </c>
      <c r="AA343" t="s">
        <v>74</v>
      </c>
      <c r="AB343" t="s">
        <v>8449</v>
      </c>
      <c r="AC343" t="s">
        <v>74</v>
      </c>
      <c r="AD343" t="s">
        <v>74</v>
      </c>
      <c r="AE343" t="s">
        <v>74</v>
      </c>
      <c r="AF343" t="s">
        <v>74</v>
      </c>
      <c r="AG343">
        <v>33</v>
      </c>
      <c r="AH343">
        <v>15</v>
      </c>
      <c r="AI343">
        <v>15</v>
      </c>
      <c r="AJ343">
        <v>43</v>
      </c>
      <c r="AK343">
        <v>119</v>
      </c>
      <c r="AL343" t="s">
        <v>74</v>
      </c>
      <c r="AM343" t="s">
        <v>74</v>
      </c>
      <c r="AN343" t="s">
        <v>74</v>
      </c>
      <c r="AO343" t="s">
        <v>2022</v>
      </c>
      <c r="AP343" t="s">
        <v>2023</v>
      </c>
      <c r="AQ343" t="s">
        <v>74</v>
      </c>
      <c r="AR343" t="s">
        <v>74</v>
      </c>
      <c r="AS343" t="s">
        <v>74</v>
      </c>
      <c r="AT343" t="s">
        <v>8450</v>
      </c>
      <c r="AU343">
        <v>2021</v>
      </c>
      <c r="AV343">
        <v>93</v>
      </c>
      <c r="AW343">
        <v>16</v>
      </c>
      <c r="AX343" t="s">
        <v>74</v>
      </c>
      <c r="AY343" t="s">
        <v>74</v>
      </c>
      <c r="AZ343" t="s">
        <v>74</v>
      </c>
      <c r="BA343" t="s">
        <v>74</v>
      </c>
      <c r="BB343">
        <v>6437</v>
      </c>
      <c r="BC343">
        <v>6445</v>
      </c>
      <c r="BD343" t="s">
        <v>74</v>
      </c>
      <c r="BE343" t="s">
        <v>8451</v>
      </c>
      <c r="BF343" t="str">
        <f>HYPERLINK("http://dx.doi.org/10.1021/acs.analchem.1c00152","http://dx.doi.org/10.1021/acs.analchem.1c00152")</f>
        <v>http://dx.doi.org/10.1021/acs.analchem.1c00152</v>
      </c>
      <c r="BG343" t="s">
        <v>74</v>
      </c>
      <c r="BH343" t="s">
        <v>6413</v>
      </c>
      <c r="BI343" t="s">
        <v>74</v>
      </c>
      <c r="BJ343" t="s">
        <v>1196</v>
      </c>
      <c r="BK343" t="s">
        <v>112</v>
      </c>
      <c r="BL343" t="s">
        <v>1197</v>
      </c>
      <c r="BM343" t="s">
        <v>74</v>
      </c>
      <c r="BN343">
        <v>33844518</v>
      </c>
      <c r="BO343" t="s">
        <v>74</v>
      </c>
      <c r="BP343" t="s">
        <v>74</v>
      </c>
      <c r="BQ343" t="s">
        <v>74</v>
      </c>
      <c r="BR343" t="s">
        <v>93</v>
      </c>
      <c r="BS343" t="s">
        <v>8452</v>
      </c>
      <c r="BT343" t="str">
        <f>HYPERLINK("https%3A%2F%2Fwww.webofscience.com%2Fwos%2Fwoscc%2Ffull-record%2FWOS:000645428400019","View Full Record in Web of Science")</f>
        <v>View Full Record in Web of Science</v>
      </c>
    </row>
    <row r="344" spans="1:72" x14ac:dyDescent="0.15">
      <c r="A344" t="s">
        <v>72</v>
      </c>
      <c r="B344" t="s">
        <v>8507</v>
      </c>
      <c r="C344" t="s">
        <v>74</v>
      </c>
      <c r="D344" t="s">
        <v>74</v>
      </c>
      <c r="E344" t="s">
        <v>74</v>
      </c>
      <c r="F344" t="s">
        <v>8508</v>
      </c>
      <c r="G344" t="s">
        <v>74</v>
      </c>
      <c r="H344" t="s">
        <v>74</v>
      </c>
      <c r="I344" t="s">
        <v>8509</v>
      </c>
      <c r="J344" t="s">
        <v>8510</v>
      </c>
      <c r="K344" t="s">
        <v>74</v>
      </c>
      <c r="L344" t="s">
        <v>74</v>
      </c>
      <c r="M344" t="s">
        <v>74</v>
      </c>
      <c r="N344" t="s">
        <v>78</v>
      </c>
      <c r="O344" t="s">
        <v>74</v>
      </c>
      <c r="P344" t="s">
        <v>74</v>
      </c>
      <c r="Q344" t="s">
        <v>74</v>
      </c>
      <c r="R344" t="s">
        <v>74</v>
      </c>
      <c r="S344" t="s">
        <v>74</v>
      </c>
      <c r="T344" t="s">
        <v>74</v>
      </c>
      <c r="U344" t="s">
        <v>8511</v>
      </c>
      <c r="V344" t="s">
        <v>8512</v>
      </c>
      <c r="W344" t="s">
        <v>8513</v>
      </c>
      <c r="X344" t="s">
        <v>8514</v>
      </c>
      <c r="Y344" t="s">
        <v>8515</v>
      </c>
      <c r="Z344" t="s">
        <v>8516</v>
      </c>
      <c r="AA344" t="s">
        <v>8517</v>
      </c>
      <c r="AB344" t="s">
        <v>8518</v>
      </c>
      <c r="AC344" t="s">
        <v>74</v>
      </c>
      <c r="AD344" t="s">
        <v>74</v>
      </c>
      <c r="AE344" t="s">
        <v>74</v>
      </c>
      <c r="AF344" t="s">
        <v>74</v>
      </c>
      <c r="AG344">
        <v>36</v>
      </c>
      <c r="AH344">
        <v>15</v>
      </c>
      <c r="AI344">
        <v>15</v>
      </c>
      <c r="AJ344">
        <v>1</v>
      </c>
      <c r="AK344">
        <v>6</v>
      </c>
      <c r="AL344" t="s">
        <v>74</v>
      </c>
      <c r="AM344" t="s">
        <v>74</v>
      </c>
      <c r="AN344" t="s">
        <v>74</v>
      </c>
      <c r="AO344" t="s">
        <v>8519</v>
      </c>
      <c r="AP344" t="s">
        <v>8520</v>
      </c>
      <c r="AQ344" t="s">
        <v>74</v>
      </c>
      <c r="AR344" t="s">
        <v>74</v>
      </c>
      <c r="AS344" t="s">
        <v>74</v>
      </c>
      <c r="AT344" t="s">
        <v>88</v>
      </c>
      <c r="AU344">
        <v>2021</v>
      </c>
      <c r="AV344">
        <v>24</v>
      </c>
      <c r="AW344">
        <v>2</v>
      </c>
      <c r="AX344" t="s">
        <v>74</v>
      </c>
      <c r="AY344" t="s">
        <v>74</v>
      </c>
      <c r="AZ344" t="s">
        <v>74</v>
      </c>
      <c r="BA344" t="s">
        <v>74</v>
      </c>
      <c r="BB344">
        <v>524</v>
      </c>
      <c r="BC344">
        <v>531</v>
      </c>
      <c r="BD344" t="s">
        <v>74</v>
      </c>
      <c r="BE344" t="s">
        <v>8521</v>
      </c>
      <c r="BF344" t="str">
        <f>HYPERLINK("http://dx.doi.org/10.1038/s41391-020-00309-w","http://dx.doi.org/10.1038/s41391-020-00309-w")</f>
        <v>http://dx.doi.org/10.1038/s41391-020-00309-w</v>
      </c>
      <c r="BG344" t="s">
        <v>74</v>
      </c>
      <c r="BH344" t="s">
        <v>2735</v>
      </c>
      <c r="BI344" t="s">
        <v>74</v>
      </c>
      <c r="BJ344" t="s">
        <v>8522</v>
      </c>
      <c r="BK344" t="s">
        <v>112</v>
      </c>
      <c r="BL344" t="s">
        <v>8522</v>
      </c>
      <c r="BM344" t="s">
        <v>74</v>
      </c>
      <c r="BN344">
        <v>33500577</v>
      </c>
      <c r="BO344" t="s">
        <v>74</v>
      </c>
      <c r="BP344" t="s">
        <v>74</v>
      </c>
      <c r="BQ344" t="s">
        <v>74</v>
      </c>
      <c r="BR344" t="s">
        <v>93</v>
      </c>
      <c r="BS344" t="s">
        <v>8523</v>
      </c>
      <c r="BT344" t="str">
        <f>HYPERLINK("https%3A%2F%2Fwww.webofscience.com%2Fwos%2Fwoscc%2Ffull-record%2FWOS:000611930300001","View Full Record in Web of Science")</f>
        <v>View Full Record in Web of Science</v>
      </c>
    </row>
    <row r="345" spans="1:72" x14ac:dyDescent="0.15">
      <c r="A345" t="s">
        <v>72</v>
      </c>
      <c r="B345" t="s">
        <v>8985</v>
      </c>
      <c r="C345" t="s">
        <v>74</v>
      </c>
      <c r="D345" t="s">
        <v>74</v>
      </c>
      <c r="E345" t="s">
        <v>74</v>
      </c>
      <c r="F345" t="s">
        <v>8986</v>
      </c>
      <c r="G345" t="s">
        <v>74</v>
      </c>
      <c r="H345" t="s">
        <v>74</v>
      </c>
      <c r="I345" t="s">
        <v>8987</v>
      </c>
      <c r="J345" t="s">
        <v>6094</v>
      </c>
      <c r="K345" t="s">
        <v>74</v>
      </c>
      <c r="L345" t="s">
        <v>74</v>
      </c>
      <c r="M345" t="s">
        <v>74</v>
      </c>
      <c r="N345" t="s">
        <v>78</v>
      </c>
      <c r="O345" t="s">
        <v>74</v>
      </c>
      <c r="P345" t="s">
        <v>74</v>
      </c>
      <c r="Q345" t="s">
        <v>74</v>
      </c>
      <c r="R345" t="s">
        <v>74</v>
      </c>
      <c r="S345" t="s">
        <v>74</v>
      </c>
      <c r="T345" t="s">
        <v>74</v>
      </c>
      <c r="U345" t="s">
        <v>8988</v>
      </c>
      <c r="V345" t="s">
        <v>8989</v>
      </c>
      <c r="W345" t="s">
        <v>8990</v>
      </c>
      <c r="X345" t="s">
        <v>8991</v>
      </c>
      <c r="Y345" t="s">
        <v>8992</v>
      </c>
      <c r="Z345" t="s">
        <v>8993</v>
      </c>
      <c r="AA345" t="s">
        <v>8994</v>
      </c>
      <c r="AB345" t="s">
        <v>8995</v>
      </c>
      <c r="AC345" t="s">
        <v>74</v>
      </c>
      <c r="AD345" t="s">
        <v>74</v>
      </c>
      <c r="AE345" t="s">
        <v>74</v>
      </c>
      <c r="AF345" t="s">
        <v>74</v>
      </c>
      <c r="AG345">
        <v>45</v>
      </c>
      <c r="AH345">
        <v>15</v>
      </c>
      <c r="AI345">
        <v>15</v>
      </c>
      <c r="AJ345">
        <v>0</v>
      </c>
      <c r="AK345">
        <v>11</v>
      </c>
      <c r="AL345" t="s">
        <v>74</v>
      </c>
      <c r="AM345" t="s">
        <v>74</v>
      </c>
      <c r="AN345" t="s">
        <v>74</v>
      </c>
      <c r="AO345" t="s">
        <v>6103</v>
      </c>
      <c r="AP345" t="s">
        <v>74</v>
      </c>
      <c r="AQ345" t="s">
        <v>74</v>
      </c>
      <c r="AR345" t="s">
        <v>74</v>
      </c>
      <c r="AS345" t="s">
        <v>74</v>
      </c>
      <c r="AT345" t="s">
        <v>88</v>
      </c>
      <c r="AU345">
        <v>2017</v>
      </c>
      <c r="AV345">
        <v>2</v>
      </c>
      <c r="AW345">
        <v>6</v>
      </c>
      <c r="AX345" t="s">
        <v>74</v>
      </c>
      <c r="AY345" t="s">
        <v>74</v>
      </c>
      <c r="AZ345" t="s">
        <v>74</v>
      </c>
      <c r="BA345" t="s">
        <v>74</v>
      </c>
      <c r="BB345">
        <v>2618</v>
      </c>
      <c r="BC345">
        <v>2629</v>
      </c>
      <c r="BD345" t="s">
        <v>74</v>
      </c>
      <c r="BE345" t="s">
        <v>8996</v>
      </c>
      <c r="BF345" t="str">
        <f>HYPERLINK("http://dx.doi.org/10.1021/acsomega.7b00284","http://dx.doi.org/10.1021/acsomega.7b00284")</f>
        <v>http://dx.doi.org/10.1021/acsomega.7b00284</v>
      </c>
      <c r="BG345" t="s">
        <v>74</v>
      </c>
      <c r="BH345" t="s">
        <v>74</v>
      </c>
      <c r="BI345" t="s">
        <v>74</v>
      </c>
      <c r="BJ345" t="s">
        <v>3810</v>
      </c>
      <c r="BK345" t="s">
        <v>112</v>
      </c>
      <c r="BL345" t="s">
        <v>1197</v>
      </c>
      <c r="BM345" t="s">
        <v>74</v>
      </c>
      <c r="BN345">
        <v>30023671</v>
      </c>
      <c r="BO345" t="s">
        <v>74</v>
      </c>
      <c r="BP345" t="s">
        <v>74</v>
      </c>
      <c r="BQ345" t="s">
        <v>74</v>
      </c>
      <c r="BR345" t="s">
        <v>93</v>
      </c>
      <c r="BS345" t="s">
        <v>8997</v>
      </c>
      <c r="BT345" t="str">
        <f>HYPERLINK("https%3A%2F%2Fwww.webofscience.com%2Fwos%2Fwoscc%2Ffull-record%2FWOS:000406385100029","View Full Record in Web of Science")</f>
        <v>View Full Record in Web of Science</v>
      </c>
    </row>
    <row r="346" spans="1:72" x14ac:dyDescent="0.15">
      <c r="A346" t="s">
        <v>72</v>
      </c>
      <c r="B346" t="s">
        <v>9729</v>
      </c>
      <c r="C346" t="s">
        <v>74</v>
      </c>
      <c r="D346" t="s">
        <v>74</v>
      </c>
      <c r="E346" t="s">
        <v>74</v>
      </c>
      <c r="F346" t="s">
        <v>9729</v>
      </c>
      <c r="G346" t="s">
        <v>74</v>
      </c>
      <c r="H346" t="s">
        <v>74</v>
      </c>
      <c r="I346" t="s">
        <v>9730</v>
      </c>
      <c r="J346" t="s">
        <v>9731</v>
      </c>
      <c r="K346" t="s">
        <v>74</v>
      </c>
      <c r="L346" t="s">
        <v>74</v>
      </c>
      <c r="M346" t="s">
        <v>74</v>
      </c>
      <c r="N346" t="s">
        <v>78</v>
      </c>
      <c r="O346" t="s">
        <v>74</v>
      </c>
      <c r="P346" t="s">
        <v>74</v>
      </c>
      <c r="Q346" t="s">
        <v>74</v>
      </c>
      <c r="R346" t="s">
        <v>74</v>
      </c>
      <c r="S346" t="s">
        <v>74</v>
      </c>
      <c r="T346" t="s">
        <v>74</v>
      </c>
      <c r="U346" t="s">
        <v>9732</v>
      </c>
      <c r="V346" t="s">
        <v>9733</v>
      </c>
      <c r="W346" t="s">
        <v>74</v>
      </c>
      <c r="X346" t="s">
        <v>74</v>
      </c>
      <c r="Y346" t="s">
        <v>9734</v>
      </c>
      <c r="Z346" t="s">
        <v>74</v>
      </c>
      <c r="AA346" t="s">
        <v>74</v>
      </c>
      <c r="AB346" t="s">
        <v>74</v>
      </c>
      <c r="AC346" t="s">
        <v>74</v>
      </c>
      <c r="AD346" t="s">
        <v>74</v>
      </c>
      <c r="AE346" t="s">
        <v>74</v>
      </c>
      <c r="AF346" t="s">
        <v>74</v>
      </c>
      <c r="AG346">
        <v>26</v>
      </c>
      <c r="AH346">
        <v>15</v>
      </c>
      <c r="AI346">
        <v>15</v>
      </c>
      <c r="AJ346">
        <v>0</v>
      </c>
      <c r="AK346">
        <v>2</v>
      </c>
      <c r="AL346" t="s">
        <v>74</v>
      </c>
      <c r="AM346" t="s">
        <v>74</v>
      </c>
      <c r="AN346" t="s">
        <v>74</v>
      </c>
      <c r="AO346" t="s">
        <v>9735</v>
      </c>
      <c r="AP346" t="s">
        <v>9736</v>
      </c>
      <c r="AQ346" t="s">
        <v>74</v>
      </c>
      <c r="AR346" t="s">
        <v>74</v>
      </c>
      <c r="AS346" t="s">
        <v>74</v>
      </c>
      <c r="AT346" t="s">
        <v>3513</v>
      </c>
      <c r="AU346">
        <v>1995</v>
      </c>
      <c r="AV346">
        <v>13</v>
      </c>
      <c r="AW346">
        <v>5</v>
      </c>
      <c r="AX346" t="s">
        <v>74</v>
      </c>
      <c r="AY346" t="s">
        <v>74</v>
      </c>
      <c r="AZ346" t="s">
        <v>74</v>
      </c>
      <c r="BA346" t="s">
        <v>74</v>
      </c>
      <c r="BB346">
        <v>2613</v>
      </c>
      <c r="BC346">
        <v>2618</v>
      </c>
      <c r="BD346" t="s">
        <v>74</v>
      </c>
      <c r="BE346" t="s">
        <v>9737</v>
      </c>
      <c r="BF346" t="str">
        <f>HYPERLINK("http://dx.doi.org/10.1116/1.579459","http://dx.doi.org/10.1116/1.579459")</f>
        <v>http://dx.doi.org/10.1116/1.579459</v>
      </c>
      <c r="BG346" t="s">
        <v>74</v>
      </c>
      <c r="BH346" t="s">
        <v>74</v>
      </c>
      <c r="BI346" t="s">
        <v>74</v>
      </c>
      <c r="BJ346" t="s">
        <v>9738</v>
      </c>
      <c r="BK346" t="s">
        <v>112</v>
      </c>
      <c r="BL346" t="s">
        <v>9739</v>
      </c>
      <c r="BM346" t="s">
        <v>74</v>
      </c>
      <c r="BN346" t="s">
        <v>74</v>
      </c>
      <c r="BO346" t="s">
        <v>74</v>
      </c>
      <c r="BP346" t="s">
        <v>74</v>
      </c>
      <c r="BQ346" t="s">
        <v>74</v>
      </c>
      <c r="BR346" t="s">
        <v>93</v>
      </c>
      <c r="BS346" t="s">
        <v>9740</v>
      </c>
      <c r="BT346" t="str">
        <f>HYPERLINK("https%3A%2F%2Fwww.webofscience.com%2Fwos%2Fwoscc%2Ffull-record%2FWOS:A1995RV82800049","View Full Record in Web of Science")</f>
        <v>View Full Record in Web of Science</v>
      </c>
    </row>
    <row r="347" spans="1:72" x14ac:dyDescent="0.15">
      <c r="A347" t="s">
        <v>72</v>
      </c>
      <c r="B347" t="s">
        <v>9871</v>
      </c>
      <c r="C347" t="s">
        <v>74</v>
      </c>
      <c r="D347" t="s">
        <v>74</v>
      </c>
      <c r="E347" t="s">
        <v>74</v>
      </c>
      <c r="F347" t="s">
        <v>9872</v>
      </c>
      <c r="G347" t="s">
        <v>74</v>
      </c>
      <c r="H347" t="s">
        <v>74</v>
      </c>
      <c r="I347" t="s">
        <v>9873</v>
      </c>
      <c r="J347" t="s">
        <v>1828</v>
      </c>
      <c r="K347" t="s">
        <v>74</v>
      </c>
      <c r="L347" t="s">
        <v>74</v>
      </c>
      <c r="M347" t="s">
        <v>74</v>
      </c>
      <c r="N347" t="s">
        <v>78</v>
      </c>
      <c r="O347" t="s">
        <v>74</v>
      </c>
      <c r="P347" t="s">
        <v>74</v>
      </c>
      <c r="Q347" t="s">
        <v>74</v>
      </c>
      <c r="R347" t="s">
        <v>74</v>
      </c>
      <c r="S347" t="s">
        <v>74</v>
      </c>
      <c r="T347" t="s">
        <v>74</v>
      </c>
      <c r="U347" t="s">
        <v>9874</v>
      </c>
      <c r="V347" t="s">
        <v>9875</v>
      </c>
      <c r="W347" t="s">
        <v>9876</v>
      </c>
      <c r="X347" t="s">
        <v>9877</v>
      </c>
      <c r="Y347" t="s">
        <v>9878</v>
      </c>
      <c r="Z347" t="s">
        <v>9879</v>
      </c>
      <c r="AA347" t="s">
        <v>74</v>
      </c>
      <c r="AB347" t="s">
        <v>74</v>
      </c>
      <c r="AC347" t="s">
        <v>74</v>
      </c>
      <c r="AD347" t="s">
        <v>74</v>
      </c>
      <c r="AE347" t="s">
        <v>74</v>
      </c>
      <c r="AF347" t="s">
        <v>74</v>
      </c>
      <c r="AG347">
        <v>64</v>
      </c>
      <c r="AH347">
        <v>15</v>
      </c>
      <c r="AI347">
        <v>16</v>
      </c>
      <c r="AJ347">
        <v>4</v>
      </c>
      <c r="AK347">
        <v>14</v>
      </c>
      <c r="AL347" t="s">
        <v>74</v>
      </c>
      <c r="AM347" t="s">
        <v>74</v>
      </c>
      <c r="AN347" t="s">
        <v>74</v>
      </c>
      <c r="AO347" t="s">
        <v>1837</v>
      </c>
      <c r="AP347" t="s">
        <v>74</v>
      </c>
      <c r="AQ347" t="s">
        <v>74</v>
      </c>
      <c r="AR347" t="s">
        <v>74</v>
      </c>
      <c r="AS347" t="s">
        <v>74</v>
      </c>
      <c r="AT347" t="s">
        <v>3123</v>
      </c>
      <c r="AU347">
        <v>2018</v>
      </c>
      <c r="AV347">
        <v>8</v>
      </c>
      <c r="AW347" t="s">
        <v>74</v>
      </c>
      <c r="AX347" t="s">
        <v>74</v>
      </c>
      <c r="AY347" t="s">
        <v>74</v>
      </c>
      <c r="AZ347" t="s">
        <v>74</v>
      </c>
      <c r="BA347" t="s">
        <v>74</v>
      </c>
      <c r="BB347" t="s">
        <v>74</v>
      </c>
      <c r="BC347" t="s">
        <v>74</v>
      </c>
      <c r="BD347">
        <v>2832</v>
      </c>
      <c r="BE347" t="s">
        <v>9880</v>
      </c>
      <c r="BF347" t="str">
        <f>HYPERLINK("http://dx.doi.org/10.1038/s41598-018-21113-6","http://dx.doi.org/10.1038/s41598-018-21113-6")</f>
        <v>http://dx.doi.org/10.1038/s41598-018-21113-6</v>
      </c>
      <c r="BG347" t="s">
        <v>74</v>
      </c>
      <c r="BH347" t="s">
        <v>74</v>
      </c>
      <c r="BI347" t="s">
        <v>74</v>
      </c>
      <c r="BJ347" t="s">
        <v>545</v>
      </c>
      <c r="BK347" t="s">
        <v>112</v>
      </c>
      <c r="BL347" t="s">
        <v>546</v>
      </c>
      <c r="BM347" t="s">
        <v>74</v>
      </c>
      <c r="BN347">
        <v>29434260</v>
      </c>
      <c r="BO347" t="s">
        <v>74</v>
      </c>
      <c r="BP347" t="s">
        <v>74</v>
      </c>
      <c r="BQ347" t="s">
        <v>74</v>
      </c>
      <c r="BR347" t="s">
        <v>93</v>
      </c>
      <c r="BS347" t="s">
        <v>9881</v>
      </c>
      <c r="BT347" t="str">
        <f>HYPERLINK("https%3A%2F%2Fwww.webofscience.com%2Fwos%2Fwoscc%2Ffull-record%2FWOS:000424743500048","View Full Record in Web of Science")</f>
        <v>View Full Record in Web of Science</v>
      </c>
    </row>
    <row r="348" spans="1:72" x14ac:dyDescent="0.15">
      <c r="A348" t="s">
        <v>72</v>
      </c>
      <c r="B348" t="s">
        <v>10703</v>
      </c>
      <c r="C348" t="s">
        <v>74</v>
      </c>
      <c r="D348" t="s">
        <v>74</v>
      </c>
      <c r="E348" t="s">
        <v>74</v>
      </c>
      <c r="F348" t="s">
        <v>10704</v>
      </c>
      <c r="G348" t="s">
        <v>74</v>
      </c>
      <c r="H348" t="s">
        <v>74</v>
      </c>
      <c r="I348" t="s">
        <v>10705</v>
      </c>
      <c r="J348" t="s">
        <v>10706</v>
      </c>
      <c r="K348" t="s">
        <v>74</v>
      </c>
      <c r="L348" t="s">
        <v>74</v>
      </c>
      <c r="M348" t="s">
        <v>74</v>
      </c>
      <c r="N348" t="s">
        <v>78</v>
      </c>
      <c r="O348" t="s">
        <v>74</v>
      </c>
      <c r="P348" t="s">
        <v>74</v>
      </c>
      <c r="Q348" t="s">
        <v>74</v>
      </c>
      <c r="R348" t="s">
        <v>74</v>
      </c>
      <c r="S348" t="s">
        <v>74</v>
      </c>
      <c r="T348" t="s">
        <v>74</v>
      </c>
      <c r="U348" t="s">
        <v>10707</v>
      </c>
      <c r="V348" t="s">
        <v>10708</v>
      </c>
      <c r="W348" t="s">
        <v>10709</v>
      </c>
      <c r="X348" t="s">
        <v>10710</v>
      </c>
      <c r="Y348" t="s">
        <v>10711</v>
      </c>
      <c r="Z348" t="s">
        <v>10712</v>
      </c>
      <c r="AA348" t="s">
        <v>74</v>
      </c>
      <c r="AB348" t="s">
        <v>10713</v>
      </c>
      <c r="AC348" t="s">
        <v>74</v>
      </c>
      <c r="AD348" t="s">
        <v>74</v>
      </c>
      <c r="AE348" t="s">
        <v>74</v>
      </c>
      <c r="AF348" t="s">
        <v>74</v>
      </c>
      <c r="AG348">
        <v>46</v>
      </c>
      <c r="AH348">
        <v>15</v>
      </c>
      <c r="AI348">
        <v>15</v>
      </c>
      <c r="AJ348">
        <v>0</v>
      </c>
      <c r="AK348">
        <v>4</v>
      </c>
      <c r="AL348" t="s">
        <v>74</v>
      </c>
      <c r="AM348" t="s">
        <v>74</v>
      </c>
      <c r="AN348" t="s">
        <v>74</v>
      </c>
      <c r="AO348" t="s">
        <v>10714</v>
      </c>
      <c r="AP348" t="s">
        <v>10715</v>
      </c>
      <c r="AQ348" t="s">
        <v>74</v>
      </c>
      <c r="AR348" t="s">
        <v>74</v>
      </c>
      <c r="AS348" t="s">
        <v>74</v>
      </c>
      <c r="AT348" t="s">
        <v>1111</v>
      </c>
      <c r="AU348">
        <v>2017</v>
      </c>
      <c r="AV348">
        <v>57</v>
      </c>
      <c r="AW348">
        <v>5</v>
      </c>
      <c r="AX348" t="s">
        <v>74</v>
      </c>
      <c r="AY348" t="s">
        <v>74</v>
      </c>
      <c r="AZ348" t="s">
        <v>74</v>
      </c>
      <c r="BA348" t="s">
        <v>74</v>
      </c>
      <c r="BB348">
        <v>1199</v>
      </c>
      <c r="BC348">
        <v>1207</v>
      </c>
      <c r="BD348" t="s">
        <v>74</v>
      </c>
      <c r="BE348" t="s">
        <v>10716</v>
      </c>
      <c r="BF348" t="str">
        <f>HYPERLINK("http://dx.doi.org/10.1111/trf.14035","http://dx.doi.org/10.1111/trf.14035")</f>
        <v>http://dx.doi.org/10.1111/trf.14035</v>
      </c>
      <c r="BG348" t="s">
        <v>74</v>
      </c>
      <c r="BH348" t="s">
        <v>74</v>
      </c>
      <c r="BI348" t="s">
        <v>74</v>
      </c>
      <c r="BJ348" t="s">
        <v>1899</v>
      </c>
      <c r="BK348" t="s">
        <v>112</v>
      </c>
      <c r="BL348" t="s">
        <v>1899</v>
      </c>
      <c r="BM348" t="s">
        <v>74</v>
      </c>
      <c r="BN348">
        <v>28236306</v>
      </c>
      <c r="BO348" t="s">
        <v>74</v>
      </c>
      <c r="BP348" t="s">
        <v>74</v>
      </c>
      <c r="BQ348" t="s">
        <v>74</v>
      </c>
      <c r="BR348" t="s">
        <v>93</v>
      </c>
      <c r="BS348" t="s">
        <v>10717</v>
      </c>
      <c r="BT348" t="str">
        <f>HYPERLINK("https%3A%2F%2Fwww.webofscience.com%2Fwos%2Fwoscc%2Ffull-record%2FWOS:000402875300016","View Full Record in Web of Science")</f>
        <v>View Full Record in Web of Science</v>
      </c>
    </row>
    <row r="349" spans="1:72" x14ac:dyDescent="0.15">
      <c r="A349" t="s">
        <v>72</v>
      </c>
      <c r="B349" t="s">
        <v>10867</v>
      </c>
      <c r="C349" t="s">
        <v>74</v>
      </c>
      <c r="D349" t="s">
        <v>74</v>
      </c>
      <c r="E349" t="s">
        <v>74</v>
      </c>
      <c r="F349" t="s">
        <v>10868</v>
      </c>
      <c r="G349" t="s">
        <v>74</v>
      </c>
      <c r="H349" t="s">
        <v>74</v>
      </c>
      <c r="I349" t="s">
        <v>10869</v>
      </c>
      <c r="J349" t="s">
        <v>2263</v>
      </c>
      <c r="K349" t="s">
        <v>74</v>
      </c>
      <c r="L349" t="s">
        <v>74</v>
      </c>
      <c r="M349" t="s">
        <v>74</v>
      </c>
      <c r="N349" t="s">
        <v>78</v>
      </c>
      <c r="O349" t="s">
        <v>74</v>
      </c>
      <c r="P349" t="s">
        <v>74</v>
      </c>
      <c r="Q349" t="s">
        <v>74</v>
      </c>
      <c r="R349" t="s">
        <v>74</v>
      </c>
      <c r="S349" t="s">
        <v>74</v>
      </c>
      <c r="T349" t="s">
        <v>10870</v>
      </c>
      <c r="U349" t="s">
        <v>10871</v>
      </c>
      <c r="V349" t="s">
        <v>10872</v>
      </c>
      <c r="W349" t="s">
        <v>10873</v>
      </c>
      <c r="X349" t="s">
        <v>10874</v>
      </c>
      <c r="Y349" t="s">
        <v>10875</v>
      </c>
      <c r="Z349" t="s">
        <v>10876</v>
      </c>
      <c r="AA349" t="s">
        <v>74</v>
      </c>
      <c r="AB349" t="s">
        <v>10877</v>
      </c>
      <c r="AC349" t="s">
        <v>74</v>
      </c>
      <c r="AD349" t="s">
        <v>74</v>
      </c>
      <c r="AE349" t="s">
        <v>74</v>
      </c>
      <c r="AF349" t="s">
        <v>74</v>
      </c>
      <c r="AG349">
        <v>39</v>
      </c>
      <c r="AH349">
        <v>15</v>
      </c>
      <c r="AI349">
        <v>15</v>
      </c>
      <c r="AJ349">
        <v>2</v>
      </c>
      <c r="AK349">
        <v>5</v>
      </c>
      <c r="AL349" t="s">
        <v>74</v>
      </c>
      <c r="AM349" t="s">
        <v>74</v>
      </c>
      <c r="AN349" t="s">
        <v>74</v>
      </c>
      <c r="AO349" t="s">
        <v>2273</v>
      </c>
      <c r="AP349" t="s">
        <v>74</v>
      </c>
      <c r="AQ349" t="s">
        <v>74</v>
      </c>
      <c r="AR349" t="s">
        <v>74</v>
      </c>
      <c r="AS349" t="s">
        <v>74</v>
      </c>
      <c r="AT349" t="s">
        <v>7053</v>
      </c>
      <c r="AU349">
        <v>2020</v>
      </c>
      <c r="AV349">
        <v>11</v>
      </c>
      <c r="AW349" t="s">
        <v>74</v>
      </c>
      <c r="AX349" t="s">
        <v>74</v>
      </c>
      <c r="AY349" t="s">
        <v>74</v>
      </c>
      <c r="AZ349" t="s">
        <v>74</v>
      </c>
      <c r="BA349" t="s">
        <v>74</v>
      </c>
      <c r="BB349" t="s">
        <v>74</v>
      </c>
      <c r="BC349" t="s">
        <v>74</v>
      </c>
      <c r="BD349">
        <v>151</v>
      </c>
      <c r="BE349" t="s">
        <v>10878</v>
      </c>
      <c r="BF349" t="str">
        <f>HYPERLINK("http://dx.doi.org/10.3389/fimmu.2020.00151","http://dx.doi.org/10.3389/fimmu.2020.00151")</f>
        <v>http://dx.doi.org/10.3389/fimmu.2020.00151</v>
      </c>
      <c r="BG349" t="s">
        <v>74</v>
      </c>
      <c r="BH349" t="s">
        <v>74</v>
      </c>
      <c r="BI349" t="s">
        <v>74</v>
      </c>
      <c r="BJ349" t="s">
        <v>2276</v>
      </c>
      <c r="BK349" t="s">
        <v>112</v>
      </c>
      <c r="BL349" t="s">
        <v>2276</v>
      </c>
      <c r="BM349" t="s">
        <v>74</v>
      </c>
      <c r="BN349">
        <v>32153563</v>
      </c>
      <c r="BO349" t="s">
        <v>74</v>
      </c>
      <c r="BP349" t="s">
        <v>74</v>
      </c>
      <c r="BQ349" t="s">
        <v>74</v>
      </c>
      <c r="BR349" t="s">
        <v>93</v>
      </c>
      <c r="BS349" t="s">
        <v>10879</v>
      </c>
      <c r="BT349" t="str">
        <f>HYPERLINK("https%3A%2F%2Fwww.webofscience.com%2Fwos%2Fwoscc%2Ffull-record%2FWOS:000523699300001","View Full Record in Web of Science")</f>
        <v>View Full Record in Web of Science</v>
      </c>
    </row>
    <row r="350" spans="1:72" x14ac:dyDescent="0.15">
      <c r="A350" t="s">
        <v>312</v>
      </c>
      <c r="B350" t="s">
        <v>313</v>
      </c>
      <c r="C350" t="s">
        <v>74</v>
      </c>
      <c r="D350" t="s">
        <v>314</v>
      </c>
      <c r="E350" t="s">
        <v>74</v>
      </c>
      <c r="F350" t="s">
        <v>315</v>
      </c>
      <c r="G350" t="s">
        <v>74</v>
      </c>
      <c r="H350" t="s">
        <v>74</v>
      </c>
      <c r="I350" t="s">
        <v>316</v>
      </c>
      <c r="J350" t="s">
        <v>317</v>
      </c>
      <c r="K350" t="s">
        <v>318</v>
      </c>
      <c r="L350" t="s">
        <v>74</v>
      </c>
      <c r="M350" t="s">
        <v>74</v>
      </c>
      <c r="N350" t="s">
        <v>319</v>
      </c>
      <c r="O350" t="s">
        <v>74</v>
      </c>
      <c r="P350" t="s">
        <v>74</v>
      </c>
      <c r="Q350" t="s">
        <v>74</v>
      </c>
      <c r="R350" t="s">
        <v>74</v>
      </c>
      <c r="S350" t="s">
        <v>74</v>
      </c>
      <c r="T350" t="s">
        <v>320</v>
      </c>
      <c r="U350" t="s">
        <v>321</v>
      </c>
      <c r="V350" t="s">
        <v>322</v>
      </c>
      <c r="W350" t="s">
        <v>323</v>
      </c>
      <c r="X350" t="s">
        <v>324</v>
      </c>
      <c r="Y350" t="s">
        <v>325</v>
      </c>
      <c r="Z350" t="s">
        <v>74</v>
      </c>
      <c r="AA350" t="s">
        <v>326</v>
      </c>
      <c r="AB350" t="s">
        <v>327</v>
      </c>
      <c r="AC350" t="s">
        <v>74</v>
      </c>
      <c r="AD350" t="s">
        <v>74</v>
      </c>
      <c r="AE350" t="s">
        <v>74</v>
      </c>
      <c r="AF350" t="s">
        <v>74</v>
      </c>
      <c r="AG350">
        <v>111</v>
      </c>
      <c r="AH350">
        <v>14</v>
      </c>
      <c r="AI350">
        <v>15</v>
      </c>
      <c r="AJ350">
        <v>1</v>
      </c>
      <c r="AK350">
        <v>30</v>
      </c>
      <c r="AL350" t="s">
        <v>74</v>
      </c>
      <c r="AM350" t="s">
        <v>74</v>
      </c>
      <c r="AN350" t="s">
        <v>74</v>
      </c>
      <c r="AO350" t="s">
        <v>328</v>
      </c>
      <c r="AP350" t="s">
        <v>329</v>
      </c>
      <c r="AQ350" t="s">
        <v>330</v>
      </c>
      <c r="AR350" t="s">
        <v>74</v>
      </c>
      <c r="AS350" t="s">
        <v>74</v>
      </c>
      <c r="AT350" t="s">
        <v>74</v>
      </c>
      <c r="AU350">
        <v>2021</v>
      </c>
      <c r="AV350">
        <v>2174</v>
      </c>
      <c r="AW350" t="s">
        <v>74</v>
      </c>
      <c r="AX350" t="s">
        <v>74</v>
      </c>
      <c r="AY350" t="s">
        <v>74</v>
      </c>
      <c r="AZ350" t="s">
        <v>74</v>
      </c>
      <c r="BA350" t="s">
        <v>74</v>
      </c>
      <c r="BB350">
        <v>143</v>
      </c>
      <c r="BC350">
        <v>170</v>
      </c>
      <c r="BD350" t="s">
        <v>74</v>
      </c>
      <c r="BE350" t="s">
        <v>331</v>
      </c>
      <c r="BF350" t="str">
        <f>HYPERLINK("http://dx.doi.org/10.1007/978-1-0716-0759-6_10","http://dx.doi.org/10.1007/978-1-0716-0759-6_10")</f>
        <v>http://dx.doi.org/10.1007/978-1-0716-0759-6_10</v>
      </c>
      <c r="BG350" t="s">
        <v>332</v>
      </c>
      <c r="BH350" t="s">
        <v>74</v>
      </c>
      <c r="BI350" t="s">
        <v>74</v>
      </c>
      <c r="BJ350" t="s">
        <v>333</v>
      </c>
      <c r="BK350" t="s">
        <v>334</v>
      </c>
      <c r="BL350" t="s">
        <v>188</v>
      </c>
      <c r="BM350" t="s">
        <v>74</v>
      </c>
      <c r="BN350">
        <v>32813249</v>
      </c>
      <c r="BO350" t="s">
        <v>74</v>
      </c>
      <c r="BP350" t="s">
        <v>74</v>
      </c>
      <c r="BQ350" t="s">
        <v>74</v>
      </c>
      <c r="BR350" t="s">
        <v>93</v>
      </c>
      <c r="BS350" t="s">
        <v>335</v>
      </c>
      <c r="BT350" t="str">
        <f>HYPERLINK("https%3A%2F%2Fwww.webofscience.com%2Fwos%2Fwoscc%2Ffull-record%2FWOS:000684295200011","View Full Record in Web of Science")</f>
        <v>View Full Record in Web of Science</v>
      </c>
    </row>
    <row r="351" spans="1:72" x14ac:dyDescent="0.15">
      <c r="A351" t="s">
        <v>312</v>
      </c>
      <c r="B351" t="s">
        <v>582</v>
      </c>
      <c r="C351" t="s">
        <v>74</v>
      </c>
      <c r="D351" t="s">
        <v>455</v>
      </c>
      <c r="E351" t="s">
        <v>74</v>
      </c>
      <c r="F351" t="s">
        <v>583</v>
      </c>
      <c r="G351" t="s">
        <v>74</v>
      </c>
      <c r="H351" t="s">
        <v>74</v>
      </c>
      <c r="I351" t="s">
        <v>457</v>
      </c>
      <c r="J351" t="s">
        <v>584</v>
      </c>
      <c r="K351" t="s">
        <v>318</v>
      </c>
      <c r="L351" t="s">
        <v>74</v>
      </c>
      <c r="M351" t="s">
        <v>74</v>
      </c>
      <c r="N351" t="s">
        <v>319</v>
      </c>
      <c r="O351" t="s">
        <v>74</v>
      </c>
      <c r="P351" t="s">
        <v>74</v>
      </c>
      <c r="Q351" t="s">
        <v>74</v>
      </c>
      <c r="R351" t="s">
        <v>74</v>
      </c>
      <c r="S351" t="s">
        <v>74</v>
      </c>
      <c r="T351" t="s">
        <v>585</v>
      </c>
      <c r="U351" t="s">
        <v>586</v>
      </c>
      <c r="V351" t="s">
        <v>587</v>
      </c>
      <c r="W351" t="s">
        <v>588</v>
      </c>
      <c r="X351" t="s">
        <v>589</v>
      </c>
      <c r="Y351" t="s">
        <v>590</v>
      </c>
      <c r="Z351" t="s">
        <v>74</v>
      </c>
      <c r="AA351" t="s">
        <v>591</v>
      </c>
      <c r="AB351" t="s">
        <v>465</v>
      </c>
      <c r="AC351" t="s">
        <v>74</v>
      </c>
      <c r="AD351" t="s">
        <v>74</v>
      </c>
      <c r="AE351" t="s">
        <v>74</v>
      </c>
      <c r="AF351" t="s">
        <v>74</v>
      </c>
      <c r="AG351">
        <v>13</v>
      </c>
      <c r="AH351">
        <v>14</v>
      </c>
      <c r="AI351">
        <v>14</v>
      </c>
      <c r="AJ351">
        <v>3</v>
      </c>
      <c r="AK351">
        <v>12</v>
      </c>
      <c r="AL351" t="s">
        <v>74</v>
      </c>
      <c r="AM351" t="s">
        <v>74</v>
      </c>
      <c r="AN351" t="s">
        <v>74</v>
      </c>
      <c r="AO351" t="s">
        <v>328</v>
      </c>
      <c r="AP351" t="s">
        <v>329</v>
      </c>
      <c r="AQ351" t="s">
        <v>592</v>
      </c>
      <c r="AR351" t="s">
        <v>74</v>
      </c>
      <c r="AS351" t="s">
        <v>74</v>
      </c>
      <c r="AT351" t="s">
        <v>74</v>
      </c>
      <c r="AU351">
        <v>2015</v>
      </c>
      <c r="AV351">
        <v>1295</v>
      </c>
      <c r="AW351" t="s">
        <v>74</v>
      </c>
      <c r="AX351" t="s">
        <v>74</v>
      </c>
      <c r="AY351" t="s">
        <v>74</v>
      </c>
      <c r="AZ351" t="s">
        <v>74</v>
      </c>
      <c r="BA351" t="s">
        <v>74</v>
      </c>
      <c r="BB351">
        <v>167</v>
      </c>
      <c r="BC351">
        <v>177</v>
      </c>
      <c r="BD351" t="s">
        <v>74</v>
      </c>
      <c r="BE351" t="s">
        <v>593</v>
      </c>
      <c r="BF351" t="str">
        <f>HYPERLINK("http://dx.doi.org/10.1007/978-1-4939-2550-6_14","http://dx.doi.org/10.1007/978-1-4939-2550-6_14")</f>
        <v>http://dx.doi.org/10.1007/978-1-4939-2550-6_14</v>
      </c>
      <c r="BG351" t="s">
        <v>594</v>
      </c>
      <c r="BH351" t="s">
        <v>74</v>
      </c>
      <c r="BI351" t="s">
        <v>74</v>
      </c>
      <c r="BJ351" t="s">
        <v>469</v>
      </c>
      <c r="BK351" t="s">
        <v>334</v>
      </c>
      <c r="BL351" t="s">
        <v>92</v>
      </c>
      <c r="BM351" t="s">
        <v>74</v>
      </c>
      <c r="BN351">
        <v>25820722</v>
      </c>
      <c r="BO351" t="s">
        <v>74</v>
      </c>
      <c r="BP351" t="s">
        <v>74</v>
      </c>
      <c r="BQ351" t="s">
        <v>74</v>
      </c>
      <c r="BR351" t="s">
        <v>93</v>
      </c>
      <c r="BS351" t="s">
        <v>595</v>
      </c>
      <c r="BT351" t="str">
        <f>HYPERLINK("https%3A%2F%2Fwww.webofscience.com%2Fwos%2Fwoscc%2Ffull-record%2FWOS:000372953500015","View Full Record in Web of Science")</f>
        <v>View Full Record in Web of Science</v>
      </c>
    </row>
    <row r="352" spans="1:72" x14ac:dyDescent="0.15">
      <c r="A352" t="s">
        <v>72</v>
      </c>
      <c r="B352" t="s">
        <v>2975</v>
      </c>
      <c r="C352" t="s">
        <v>74</v>
      </c>
      <c r="D352" t="s">
        <v>74</v>
      </c>
      <c r="E352" t="s">
        <v>74</v>
      </c>
      <c r="F352" t="s">
        <v>2976</v>
      </c>
      <c r="G352" t="s">
        <v>74</v>
      </c>
      <c r="H352" t="s">
        <v>74</v>
      </c>
      <c r="I352" t="s">
        <v>2977</v>
      </c>
      <c r="J352" t="s">
        <v>2978</v>
      </c>
      <c r="K352" t="s">
        <v>74</v>
      </c>
      <c r="L352" t="s">
        <v>74</v>
      </c>
      <c r="M352" t="s">
        <v>74</v>
      </c>
      <c r="N352" t="s">
        <v>78</v>
      </c>
      <c r="O352" t="s">
        <v>74</v>
      </c>
      <c r="P352" t="s">
        <v>74</v>
      </c>
      <c r="Q352" t="s">
        <v>74</v>
      </c>
      <c r="R352" t="s">
        <v>74</v>
      </c>
      <c r="S352" t="s">
        <v>74</v>
      </c>
      <c r="T352" t="s">
        <v>2979</v>
      </c>
      <c r="U352" t="s">
        <v>2980</v>
      </c>
      <c r="V352" t="s">
        <v>2981</v>
      </c>
      <c r="W352" t="s">
        <v>2982</v>
      </c>
      <c r="X352" t="s">
        <v>2983</v>
      </c>
      <c r="Y352" t="s">
        <v>2984</v>
      </c>
      <c r="Z352" t="s">
        <v>2985</v>
      </c>
      <c r="AA352" t="s">
        <v>2986</v>
      </c>
      <c r="AB352" t="s">
        <v>74</v>
      </c>
      <c r="AC352" t="s">
        <v>74</v>
      </c>
      <c r="AD352" t="s">
        <v>74</v>
      </c>
      <c r="AE352" t="s">
        <v>74</v>
      </c>
      <c r="AF352" t="s">
        <v>74</v>
      </c>
      <c r="AG352">
        <v>155</v>
      </c>
      <c r="AH352">
        <v>14</v>
      </c>
      <c r="AI352">
        <v>14</v>
      </c>
      <c r="AJ352">
        <v>2</v>
      </c>
      <c r="AK352">
        <v>11</v>
      </c>
      <c r="AL352" t="s">
        <v>74</v>
      </c>
      <c r="AM352" t="s">
        <v>74</v>
      </c>
      <c r="AN352" t="s">
        <v>74</v>
      </c>
      <c r="AO352" t="s">
        <v>2987</v>
      </c>
      <c r="AP352" t="s">
        <v>74</v>
      </c>
      <c r="AQ352" t="s">
        <v>74</v>
      </c>
      <c r="AR352" t="s">
        <v>74</v>
      </c>
      <c r="AS352" t="s">
        <v>74</v>
      </c>
      <c r="AT352" t="s">
        <v>640</v>
      </c>
      <c r="AU352">
        <v>2020</v>
      </c>
      <c r="AV352">
        <v>13</v>
      </c>
      <c r="AW352" t="s">
        <v>74</v>
      </c>
      <c r="AX352" t="s">
        <v>74</v>
      </c>
      <c r="AY352" t="s">
        <v>74</v>
      </c>
      <c r="AZ352" t="s">
        <v>74</v>
      </c>
      <c r="BA352" t="s">
        <v>74</v>
      </c>
      <c r="BB352" t="s">
        <v>74</v>
      </c>
      <c r="BC352" t="s">
        <v>74</v>
      </c>
      <c r="BD352">
        <v>2516865720904052</v>
      </c>
      <c r="BE352" t="s">
        <v>2988</v>
      </c>
      <c r="BF352" t="str">
        <f>HYPERLINK("http://dx.doi.org/10.1177/2516865720904052","http://dx.doi.org/10.1177/2516865720904052")</f>
        <v>http://dx.doi.org/10.1177/2516865720904052</v>
      </c>
      <c r="BG352" t="s">
        <v>74</v>
      </c>
      <c r="BH352" t="s">
        <v>74</v>
      </c>
      <c r="BI352" t="s">
        <v>74</v>
      </c>
      <c r="BJ352" t="s">
        <v>349</v>
      </c>
      <c r="BK352" t="s">
        <v>91</v>
      </c>
      <c r="BL352" t="s">
        <v>349</v>
      </c>
      <c r="BM352" t="s">
        <v>74</v>
      </c>
      <c r="BN352">
        <v>32166219</v>
      </c>
      <c r="BO352" t="s">
        <v>74</v>
      </c>
      <c r="BP352" t="s">
        <v>74</v>
      </c>
      <c r="BQ352" t="s">
        <v>74</v>
      </c>
      <c r="BR352" t="s">
        <v>93</v>
      </c>
      <c r="BS352" t="s">
        <v>2989</v>
      </c>
      <c r="BT352" t="str">
        <f>HYPERLINK("https%3A%2F%2Fwww.webofscience.com%2Fwos%2Fwoscc%2Ffull-record%2FWOS:000517516000001","View Full Record in Web of Science")</f>
        <v>View Full Record in Web of Science</v>
      </c>
    </row>
    <row r="353" spans="1:72" x14ac:dyDescent="0.15">
      <c r="A353" t="s">
        <v>72</v>
      </c>
      <c r="B353" t="s">
        <v>3315</v>
      </c>
      <c r="C353" t="s">
        <v>74</v>
      </c>
      <c r="D353" t="s">
        <v>74</v>
      </c>
      <c r="E353" t="s">
        <v>74</v>
      </c>
      <c r="F353" t="s">
        <v>3316</v>
      </c>
      <c r="G353" t="s">
        <v>74</v>
      </c>
      <c r="H353" t="s">
        <v>74</v>
      </c>
      <c r="I353" t="s">
        <v>3317</v>
      </c>
      <c r="J353" t="s">
        <v>151</v>
      </c>
      <c r="K353" t="s">
        <v>74</v>
      </c>
      <c r="L353" t="s">
        <v>74</v>
      </c>
      <c r="M353" t="s">
        <v>74</v>
      </c>
      <c r="N353" t="s">
        <v>78</v>
      </c>
      <c r="O353" t="s">
        <v>74</v>
      </c>
      <c r="P353" t="s">
        <v>74</v>
      </c>
      <c r="Q353" t="s">
        <v>74</v>
      </c>
      <c r="R353" t="s">
        <v>74</v>
      </c>
      <c r="S353" t="s">
        <v>74</v>
      </c>
      <c r="T353" t="s">
        <v>3318</v>
      </c>
      <c r="U353" t="s">
        <v>3319</v>
      </c>
      <c r="V353" t="s">
        <v>3320</v>
      </c>
      <c r="W353" t="s">
        <v>3321</v>
      </c>
      <c r="X353" t="s">
        <v>3322</v>
      </c>
      <c r="Y353" t="s">
        <v>3323</v>
      </c>
      <c r="Z353" t="s">
        <v>3324</v>
      </c>
      <c r="AA353" t="s">
        <v>3325</v>
      </c>
      <c r="AB353" t="s">
        <v>3326</v>
      </c>
      <c r="AC353" t="s">
        <v>74</v>
      </c>
      <c r="AD353" t="s">
        <v>74</v>
      </c>
      <c r="AE353" t="s">
        <v>74</v>
      </c>
      <c r="AF353" t="s">
        <v>74</v>
      </c>
      <c r="AG353">
        <v>43</v>
      </c>
      <c r="AH353">
        <v>14</v>
      </c>
      <c r="AI353">
        <v>15</v>
      </c>
      <c r="AJ353">
        <v>0</v>
      </c>
      <c r="AK353">
        <v>4</v>
      </c>
      <c r="AL353" t="s">
        <v>74</v>
      </c>
      <c r="AM353" t="s">
        <v>74</v>
      </c>
      <c r="AN353" t="s">
        <v>74</v>
      </c>
      <c r="AO353" t="s">
        <v>160</v>
      </c>
      <c r="AP353" t="s">
        <v>74</v>
      </c>
      <c r="AQ353" t="s">
        <v>74</v>
      </c>
      <c r="AR353" t="s">
        <v>74</v>
      </c>
      <c r="AS353" t="s">
        <v>74</v>
      </c>
      <c r="AT353" t="s">
        <v>108</v>
      </c>
      <c r="AU353">
        <v>2019</v>
      </c>
      <c r="AV353">
        <v>11</v>
      </c>
      <c r="AW353">
        <v>1</v>
      </c>
      <c r="AX353" t="s">
        <v>74</v>
      </c>
      <c r="AY353" t="s">
        <v>74</v>
      </c>
      <c r="AZ353" t="s">
        <v>74</v>
      </c>
      <c r="BA353" t="s">
        <v>74</v>
      </c>
      <c r="BB353" t="s">
        <v>74</v>
      </c>
      <c r="BC353" t="s">
        <v>74</v>
      </c>
      <c r="BD353">
        <v>104</v>
      </c>
      <c r="BE353" t="s">
        <v>3327</v>
      </c>
      <c r="BF353" t="str">
        <f>HYPERLINK("http://dx.doi.org/10.3390/cancers11010104","http://dx.doi.org/10.3390/cancers11010104")</f>
        <v>http://dx.doi.org/10.3390/cancers11010104</v>
      </c>
      <c r="BG353" t="s">
        <v>74</v>
      </c>
      <c r="BH353" t="s">
        <v>74</v>
      </c>
      <c r="BI353" t="s">
        <v>74</v>
      </c>
      <c r="BJ353" t="s">
        <v>146</v>
      </c>
      <c r="BK353" t="s">
        <v>112</v>
      </c>
      <c r="BL353" t="s">
        <v>146</v>
      </c>
      <c r="BM353" t="s">
        <v>74</v>
      </c>
      <c r="BN353">
        <v>30658414</v>
      </c>
      <c r="BO353" t="s">
        <v>74</v>
      </c>
      <c r="BP353" t="s">
        <v>74</v>
      </c>
      <c r="BQ353" t="s">
        <v>74</v>
      </c>
      <c r="BR353" t="s">
        <v>93</v>
      </c>
      <c r="BS353" t="s">
        <v>3328</v>
      </c>
      <c r="BT353" t="str">
        <f>HYPERLINK("https%3A%2F%2Fwww.webofscience.com%2Fwos%2Fwoscc%2Ffull-record%2FWOS:000457233300042","View Full Record in Web of Science")</f>
        <v>View Full Record in Web of Science</v>
      </c>
    </row>
    <row r="354" spans="1:72" x14ac:dyDescent="0.15">
      <c r="A354" t="s">
        <v>72</v>
      </c>
      <c r="B354" t="s">
        <v>3937</v>
      </c>
      <c r="C354" t="s">
        <v>74</v>
      </c>
      <c r="D354" t="s">
        <v>74</v>
      </c>
      <c r="E354" t="s">
        <v>74</v>
      </c>
      <c r="F354" t="s">
        <v>3938</v>
      </c>
      <c r="G354" t="s">
        <v>74</v>
      </c>
      <c r="H354" t="s">
        <v>74</v>
      </c>
      <c r="I354" t="s">
        <v>3939</v>
      </c>
      <c r="J354" t="s">
        <v>3940</v>
      </c>
      <c r="K354" t="s">
        <v>74</v>
      </c>
      <c r="L354" t="s">
        <v>74</v>
      </c>
      <c r="M354" t="s">
        <v>74</v>
      </c>
      <c r="N354" t="s">
        <v>78</v>
      </c>
      <c r="O354" t="s">
        <v>74</v>
      </c>
      <c r="P354" t="s">
        <v>74</v>
      </c>
      <c r="Q354" t="s">
        <v>74</v>
      </c>
      <c r="R354" t="s">
        <v>74</v>
      </c>
      <c r="S354" t="s">
        <v>74</v>
      </c>
      <c r="T354" t="s">
        <v>74</v>
      </c>
      <c r="U354" t="s">
        <v>3941</v>
      </c>
      <c r="V354" t="s">
        <v>3942</v>
      </c>
      <c r="W354" t="s">
        <v>3943</v>
      </c>
      <c r="X354" t="s">
        <v>3944</v>
      </c>
      <c r="Y354" t="s">
        <v>3945</v>
      </c>
      <c r="Z354" t="s">
        <v>3946</v>
      </c>
      <c r="AA354" t="s">
        <v>3947</v>
      </c>
      <c r="AB354" t="s">
        <v>3948</v>
      </c>
      <c r="AC354" t="s">
        <v>74</v>
      </c>
      <c r="AD354" t="s">
        <v>74</v>
      </c>
      <c r="AE354" t="s">
        <v>74</v>
      </c>
      <c r="AF354" t="s">
        <v>74</v>
      </c>
      <c r="AG354">
        <v>39</v>
      </c>
      <c r="AH354">
        <v>14</v>
      </c>
      <c r="AI354">
        <v>15</v>
      </c>
      <c r="AJ354">
        <v>1</v>
      </c>
      <c r="AK354">
        <v>22</v>
      </c>
      <c r="AL354" t="s">
        <v>74</v>
      </c>
      <c r="AM354" t="s">
        <v>74</v>
      </c>
      <c r="AN354" t="s">
        <v>74</v>
      </c>
      <c r="AO354" t="s">
        <v>3949</v>
      </c>
      <c r="AP354" t="s">
        <v>3950</v>
      </c>
      <c r="AQ354" t="s">
        <v>74</v>
      </c>
      <c r="AR354" t="s">
        <v>74</v>
      </c>
      <c r="AS354" t="s">
        <v>74</v>
      </c>
      <c r="AT354" t="s">
        <v>728</v>
      </c>
      <c r="AU354">
        <v>2017</v>
      </c>
      <c r="AV354">
        <v>77</v>
      </c>
      <c r="AW354">
        <v>1</v>
      </c>
      <c r="AX354" t="s">
        <v>74</v>
      </c>
      <c r="AY354" t="s">
        <v>74</v>
      </c>
      <c r="AZ354" t="s">
        <v>74</v>
      </c>
      <c r="BA354" t="s">
        <v>74</v>
      </c>
      <c r="BB354">
        <v>3</v>
      </c>
      <c r="BC354">
        <v>13</v>
      </c>
      <c r="BD354" t="s">
        <v>74</v>
      </c>
      <c r="BE354" t="s">
        <v>3951</v>
      </c>
      <c r="BF354" t="str">
        <f>HYPERLINK("http://dx.doi.org/10.1158/0008-5472.CAN-15-3231","http://dx.doi.org/10.1158/0008-5472.CAN-15-3231")</f>
        <v>http://dx.doi.org/10.1158/0008-5472.CAN-15-3231</v>
      </c>
      <c r="BG354" t="s">
        <v>74</v>
      </c>
      <c r="BH354" t="s">
        <v>74</v>
      </c>
      <c r="BI354" t="s">
        <v>74</v>
      </c>
      <c r="BJ354" t="s">
        <v>146</v>
      </c>
      <c r="BK354" t="s">
        <v>112</v>
      </c>
      <c r="BL354" t="s">
        <v>146</v>
      </c>
      <c r="BM354" t="s">
        <v>74</v>
      </c>
      <c r="BN354">
        <v>27793845</v>
      </c>
      <c r="BO354" t="s">
        <v>74</v>
      </c>
      <c r="BP354" t="s">
        <v>74</v>
      </c>
      <c r="BQ354" t="s">
        <v>74</v>
      </c>
      <c r="BR354" t="s">
        <v>93</v>
      </c>
      <c r="BS354" t="s">
        <v>3952</v>
      </c>
      <c r="BT354" t="str">
        <f>HYPERLINK("https%3A%2F%2Fwww.webofscience.com%2Fwos%2Fwoscc%2Ffull-record%2FWOS:000393187900001","View Full Record in Web of Science")</f>
        <v>View Full Record in Web of Science</v>
      </c>
    </row>
    <row r="355" spans="1:72" x14ac:dyDescent="0.15">
      <c r="A355" t="s">
        <v>72</v>
      </c>
      <c r="B355" t="s">
        <v>4444</v>
      </c>
      <c r="C355" t="s">
        <v>74</v>
      </c>
      <c r="D355" t="s">
        <v>74</v>
      </c>
      <c r="E355" t="s">
        <v>74</v>
      </c>
      <c r="F355" t="s">
        <v>4445</v>
      </c>
      <c r="G355" t="s">
        <v>74</v>
      </c>
      <c r="H355" t="s">
        <v>74</v>
      </c>
      <c r="I355" t="s">
        <v>4446</v>
      </c>
      <c r="J355" t="s">
        <v>4447</v>
      </c>
      <c r="K355" t="s">
        <v>74</v>
      </c>
      <c r="L355" t="s">
        <v>74</v>
      </c>
      <c r="M355" t="s">
        <v>74</v>
      </c>
      <c r="N355" t="s">
        <v>78</v>
      </c>
      <c r="O355" t="s">
        <v>74</v>
      </c>
      <c r="P355" t="s">
        <v>74</v>
      </c>
      <c r="Q355" t="s">
        <v>74</v>
      </c>
      <c r="R355" t="s">
        <v>74</v>
      </c>
      <c r="S355" t="s">
        <v>74</v>
      </c>
      <c r="T355" t="s">
        <v>4448</v>
      </c>
      <c r="U355" t="s">
        <v>4449</v>
      </c>
      <c r="V355" t="s">
        <v>4450</v>
      </c>
      <c r="W355" t="s">
        <v>4451</v>
      </c>
      <c r="X355" t="s">
        <v>4281</v>
      </c>
      <c r="Y355" t="s">
        <v>4452</v>
      </c>
      <c r="Z355" t="s">
        <v>4453</v>
      </c>
      <c r="AA355" t="s">
        <v>74</v>
      </c>
      <c r="AB355" t="s">
        <v>4454</v>
      </c>
      <c r="AC355" t="s">
        <v>74</v>
      </c>
      <c r="AD355" t="s">
        <v>74</v>
      </c>
      <c r="AE355" t="s">
        <v>74</v>
      </c>
      <c r="AF355" t="s">
        <v>74</v>
      </c>
      <c r="AG355">
        <v>32</v>
      </c>
      <c r="AH355">
        <v>14</v>
      </c>
      <c r="AI355">
        <v>14</v>
      </c>
      <c r="AJ355">
        <v>25</v>
      </c>
      <c r="AK355">
        <v>111</v>
      </c>
      <c r="AL355" t="s">
        <v>74</v>
      </c>
      <c r="AM355" t="s">
        <v>74</v>
      </c>
      <c r="AN355" t="s">
        <v>74</v>
      </c>
      <c r="AO355" t="s">
        <v>4455</v>
      </c>
      <c r="AP355" t="s">
        <v>4456</v>
      </c>
      <c r="AQ355" t="s">
        <v>74</v>
      </c>
      <c r="AR355" t="s">
        <v>74</v>
      </c>
      <c r="AS355" t="s">
        <v>74</v>
      </c>
      <c r="AT355" t="s">
        <v>4457</v>
      </c>
      <c r="AU355">
        <v>2020</v>
      </c>
      <c r="AV355">
        <v>187</v>
      </c>
      <c r="AW355">
        <v>4</v>
      </c>
      <c r="AX355" t="s">
        <v>74</v>
      </c>
      <c r="AY355" t="s">
        <v>74</v>
      </c>
      <c r="AZ355" t="s">
        <v>74</v>
      </c>
      <c r="BA355" t="s">
        <v>74</v>
      </c>
      <c r="BB355" t="s">
        <v>74</v>
      </c>
      <c r="BC355" t="s">
        <v>74</v>
      </c>
      <c r="BD355">
        <v>251</v>
      </c>
      <c r="BE355" t="s">
        <v>4458</v>
      </c>
      <c r="BF355" t="str">
        <f>HYPERLINK("http://dx.doi.org/10.1007/s00604-020-4183-1","http://dx.doi.org/10.1007/s00604-020-4183-1")</f>
        <v>http://dx.doi.org/10.1007/s00604-020-4183-1</v>
      </c>
      <c r="BG355" t="s">
        <v>74</v>
      </c>
      <c r="BH355" t="s">
        <v>74</v>
      </c>
      <c r="BI355" t="s">
        <v>74</v>
      </c>
      <c r="BJ355" t="s">
        <v>1196</v>
      </c>
      <c r="BK355" t="s">
        <v>112</v>
      </c>
      <c r="BL355" t="s">
        <v>1197</v>
      </c>
      <c r="BM355" t="s">
        <v>74</v>
      </c>
      <c r="BN355">
        <v>32232575</v>
      </c>
      <c r="BO355" t="s">
        <v>74</v>
      </c>
      <c r="BP355" t="s">
        <v>74</v>
      </c>
      <c r="BQ355" t="s">
        <v>74</v>
      </c>
      <c r="BR355" t="s">
        <v>93</v>
      </c>
      <c r="BS355" t="s">
        <v>4459</v>
      </c>
      <c r="BT355" t="str">
        <f>HYPERLINK("https%3A%2F%2Fwww.webofscience.com%2Fwos%2Fwoscc%2Ffull-record%2FWOS:000522936400001","View Full Record in Web of Science")</f>
        <v>View Full Record in Web of Science</v>
      </c>
    </row>
    <row r="356" spans="1:72" x14ac:dyDescent="0.15">
      <c r="A356" t="s">
        <v>72</v>
      </c>
      <c r="B356" t="s">
        <v>4562</v>
      </c>
      <c r="C356" t="s">
        <v>74</v>
      </c>
      <c r="D356" t="s">
        <v>74</v>
      </c>
      <c r="E356" t="s">
        <v>74</v>
      </c>
      <c r="F356" t="s">
        <v>4563</v>
      </c>
      <c r="G356" t="s">
        <v>74</v>
      </c>
      <c r="H356" t="s">
        <v>74</v>
      </c>
      <c r="I356" t="s">
        <v>4564</v>
      </c>
      <c r="J356" t="s">
        <v>2013</v>
      </c>
      <c r="K356" t="s">
        <v>74</v>
      </c>
      <c r="L356" t="s">
        <v>74</v>
      </c>
      <c r="M356" t="s">
        <v>74</v>
      </c>
      <c r="N356" t="s">
        <v>78</v>
      </c>
      <c r="O356" t="s">
        <v>74</v>
      </c>
      <c r="P356" t="s">
        <v>74</v>
      </c>
      <c r="Q356" t="s">
        <v>74</v>
      </c>
      <c r="R356" t="s">
        <v>74</v>
      </c>
      <c r="S356" t="s">
        <v>74</v>
      </c>
      <c r="T356" t="s">
        <v>74</v>
      </c>
      <c r="U356" t="s">
        <v>4565</v>
      </c>
      <c r="V356" t="s">
        <v>4566</v>
      </c>
      <c r="W356" t="s">
        <v>4567</v>
      </c>
      <c r="X356" t="s">
        <v>4568</v>
      </c>
      <c r="Y356" t="s">
        <v>4569</v>
      </c>
      <c r="Z356" t="s">
        <v>4570</v>
      </c>
      <c r="AA356" t="s">
        <v>74</v>
      </c>
      <c r="AB356" t="s">
        <v>4571</v>
      </c>
      <c r="AC356" t="s">
        <v>74</v>
      </c>
      <c r="AD356" t="s">
        <v>74</v>
      </c>
      <c r="AE356" t="s">
        <v>74</v>
      </c>
      <c r="AF356" t="s">
        <v>74</v>
      </c>
      <c r="AG356">
        <v>50</v>
      </c>
      <c r="AH356">
        <v>14</v>
      </c>
      <c r="AI356">
        <v>14</v>
      </c>
      <c r="AJ356">
        <v>2</v>
      </c>
      <c r="AK356">
        <v>35</v>
      </c>
      <c r="AL356" t="s">
        <v>74</v>
      </c>
      <c r="AM356" t="s">
        <v>74</v>
      </c>
      <c r="AN356" t="s">
        <v>74</v>
      </c>
      <c r="AO356" t="s">
        <v>2022</v>
      </c>
      <c r="AP356" t="s">
        <v>2023</v>
      </c>
      <c r="AQ356" t="s">
        <v>74</v>
      </c>
      <c r="AR356" t="s">
        <v>74</v>
      </c>
      <c r="AS356" t="s">
        <v>74</v>
      </c>
      <c r="AT356" t="s">
        <v>4243</v>
      </c>
      <c r="AU356">
        <v>2019</v>
      </c>
      <c r="AV356">
        <v>91</v>
      </c>
      <c r="AW356">
        <v>21</v>
      </c>
      <c r="AX356" t="s">
        <v>74</v>
      </c>
      <c r="AY356" t="s">
        <v>74</v>
      </c>
      <c r="AZ356" t="s">
        <v>74</v>
      </c>
      <c r="BA356" t="s">
        <v>74</v>
      </c>
      <c r="BB356">
        <v>13729</v>
      </c>
      <c r="BC356">
        <v>13736</v>
      </c>
      <c r="BD356" t="s">
        <v>74</v>
      </c>
      <c r="BE356" t="s">
        <v>4572</v>
      </c>
      <c r="BF356" t="str">
        <f>HYPERLINK("http://dx.doi.org/10.1021/acs.analchem.9b03064","http://dx.doi.org/10.1021/acs.analchem.9b03064")</f>
        <v>http://dx.doi.org/10.1021/acs.analchem.9b03064</v>
      </c>
      <c r="BG356" t="s">
        <v>74</v>
      </c>
      <c r="BH356" t="s">
        <v>74</v>
      </c>
      <c r="BI356" t="s">
        <v>74</v>
      </c>
      <c r="BJ356" t="s">
        <v>1196</v>
      </c>
      <c r="BK356" t="s">
        <v>112</v>
      </c>
      <c r="BL356" t="s">
        <v>1197</v>
      </c>
      <c r="BM356" t="s">
        <v>74</v>
      </c>
      <c r="BN356">
        <v>31596073</v>
      </c>
      <c r="BO356" t="s">
        <v>74</v>
      </c>
      <c r="BP356" t="s">
        <v>74</v>
      </c>
      <c r="BQ356" t="s">
        <v>74</v>
      </c>
      <c r="BR356" t="s">
        <v>93</v>
      </c>
      <c r="BS356" t="s">
        <v>4573</v>
      </c>
      <c r="BT356" t="str">
        <f>HYPERLINK("https%3A%2F%2Fwww.webofscience.com%2Fwos%2Fwoscc%2Ffull-record%2FWOS:000495469100055","View Full Record in Web of Science")</f>
        <v>View Full Record in Web of Science</v>
      </c>
    </row>
    <row r="357" spans="1:72" x14ac:dyDescent="0.15">
      <c r="A357" t="s">
        <v>72</v>
      </c>
      <c r="B357" t="s">
        <v>6890</v>
      </c>
      <c r="C357" t="s">
        <v>74</v>
      </c>
      <c r="D357" t="s">
        <v>74</v>
      </c>
      <c r="E357" t="s">
        <v>74</v>
      </c>
      <c r="F357" t="s">
        <v>6891</v>
      </c>
      <c r="G357" t="s">
        <v>74</v>
      </c>
      <c r="H357" t="s">
        <v>74</v>
      </c>
      <c r="I357" t="s">
        <v>6892</v>
      </c>
      <c r="J357" t="s">
        <v>6893</v>
      </c>
      <c r="K357" t="s">
        <v>74</v>
      </c>
      <c r="L357" t="s">
        <v>74</v>
      </c>
      <c r="M357" t="s">
        <v>74</v>
      </c>
      <c r="N357" t="s">
        <v>78</v>
      </c>
      <c r="O357" t="s">
        <v>74</v>
      </c>
      <c r="P357" t="s">
        <v>74</v>
      </c>
      <c r="Q357" t="s">
        <v>74</v>
      </c>
      <c r="R357" t="s">
        <v>74</v>
      </c>
      <c r="S357" t="s">
        <v>74</v>
      </c>
      <c r="T357" t="s">
        <v>6894</v>
      </c>
      <c r="U357" t="s">
        <v>6895</v>
      </c>
      <c r="V357" t="s">
        <v>6896</v>
      </c>
      <c r="W357" t="s">
        <v>6897</v>
      </c>
      <c r="X357" t="s">
        <v>6898</v>
      </c>
      <c r="Y357" t="s">
        <v>6899</v>
      </c>
      <c r="Z357" t="s">
        <v>6900</v>
      </c>
      <c r="AA357" t="s">
        <v>6901</v>
      </c>
      <c r="AB357" t="s">
        <v>6902</v>
      </c>
      <c r="AC357" t="s">
        <v>74</v>
      </c>
      <c r="AD357" t="s">
        <v>74</v>
      </c>
      <c r="AE357" t="s">
        <v>74</v>
      </c>
      <c r="AF357" t="s">
        <v>74</v>
      </c>
      <c r="AG357">
        <v>25</v>
      </c>
      <c r="AH357">
        <v>14</v>
      </c>
      <c r="AI357">
        <v>14</v>
      </c>
      <c r="AJ357">
        <v>1</v>
      </c>
      <c r="AK357">
        <v>18</v>
      </c>
      <c r="AL357" t="s">
        <v>74</v>
      </c>
      <c r="AM357" t="s">
        <v>74</v>
      </c>
      <c r="AN357" t="s">
        <v>74</v>
      </c>
      <c r="AO357" t="s">
        <v>6903</v>
      </c>
      <c r="AP357" t="s">
        <v>74</v>
      </c>
      <c r="AQ357" t="s">
        <v>74</v>
      </c>
      <c r="AR357" t="s">
        <v>74</v>
      </c>
      <c r="AS357" t="s">
        <v>74</v>
      </c>
      <c r="AT357" t="s">
        <v>4656</v>
      </c>
      <c r="AU357">
        <v>2007</v>
      </c>
      <c r="AV357">
        <v>363</v>
      </c>
      <c r="AW357">
        <v>1</v>
      </c>
      <c r="AX357" t="s">
        <v>74</v>
      </c>
      <c r="AY357" t="s">
        <v>74</v>
      </c>
      <c r="AZ357" t="s">
        <v>74</v>
      </c>
      <c r="BA357" t="s">
        <v>74</v>
      </c>
      <c r="BB357">
        <v>135</v>
      </c>
      <c r="BC357">
        <v>142</v>
      </c>
      <c r="BD357" t="s">
        <v>74</v>
      </c>
      <c r="BE357" t="s">
        <v>6904</v>
      </c>
      <c r="BF357" t="str">
        <f>HYPERLINK("http://dx.doi.org/10.1016/j.ab.2007.01.006","http://dx.doi.org/10.1016/j.ab.2007.01.006")</f>
        <v>http://dx.doi.org/10.1016/j.ab.2007.01.006</v>
      </c>
      <c r="BG357" t="s">
        <v>74</v>
      </c>
      <c r="BH357" t="s">
        <v>74</v>
      </c>
      <c r="BI357" t="s">
        <v>74</v>
      </c>
      <c r="BJ357" t="s">
        <v>6905</v>
      </c>
      <c r="BK357" t="s">
        <v>112</v>
      </c>
      <c r="BL357" t="s">
        <v>681</v>
      </c>
      <c r="BM357" t="s">
        <v>74</v>
      </c>
      <c r="BN357">
        <v>17286953</v>
      </c>
      <c r="BO357" t="s">
        <v>74</v>
      </c>
      <c r="BP357" t="s">
        <v>74</v>
      </c>
      <c r="BQ357" t="s">
        <v>74</v>
      </c>
      <c r="BR357" t="s">
        <v>93</v>
      </c>
      <c r="BS357" t="s">
        <v>6906</v>
      </c>
      <c r="BT357" t="str">
        <f>HYPERLINK("https%3A%2F%2Fwww.webofscience.com%2Fwos%2Fwoscc%2Ffull-record%2FWOS:000245155500015","View Full Record in Web of Science")</f>
        <v>View Full Record in Web of Science</v>
      </c>
    </row>
    <row r="358" spans="1:72" x14ac:dyDescent="0.15">
      <c r="A358" t="s">
        <v>72</v>
      </c>
      <c r="B358" t="s">
        <v>7754</v>
      </c>
      <c r="C358" t="s">
        <v>74</v>
      </c>
      <c r="D358" t="s">
        <v>74</v>
      </c>
      <c r="E358" t="s">
        <v>74</v>
      </c>
      <c r="F358" t="s">
        <v>7755</v>
      </c>
      <c r="G358" t="s">
        <v>74</v>
      </c>
      <c r="H358" t="s">
        <v>74</v>
      </c>
      <c r="I358" t="s">
        <v>7756</v>
      </c>
      <c r="J358" t="s">
        <v>492</v>
      </c>
      <c r="K358" t="s">
        <v>74</v>
      </c>
      <c r="L358" t="s">
        <v>74</v>
      </c>
      <c r="M358" t="s">
        <v>74</v>
      </c>
      <c r="N358" t="s">
        <v>78</v>
      </c>
      <c r="O358" t="s">
        <v>74</v>
      </c>
      <c r="P358" t="s">
        <v>74</v>
      </c>
      <c r="Q358" t="s">
        <v>74</v>
      </c>
      <c r="R358" t="s">
        <v>74</v>
      </c>
      <c r="S358" t="s">
        <v>74</v>
      </c>
      <c r="T358" t="s">
        <v>74</v>
      </c>
      <c r="U358" t="s">
        <v>7757</v>
      </c>
      <c r="V358" t="s">
        <v>7758</v>
      </c>
      <c r="W358" t="s">
        <v>7759</v>
      </c>
      <c r="X358" t="s">
        <v>7760</v>
      </c>
      <c r="Y358" t="s">
        <v>7761</v>
      </c>
      <c r="Z358" t="s">
        <v>7762</v>
      </c>
      <c r="AA358" t="s">
        <v>7763</v>
      </c>
      <c r="AB358" t="s">
        <v>7764</v>
      </c>
      <c r="AC358" t="s">
        <v>74</v>
      </c>
      <c r="AD358" t="s">
        <v>74</v>
      </c>
      <c r="AE358" t="s">
        <v>74</v>
      </c>
      <c r="AF358" t="s">
        <v>74</v>
      </c>
      <c r="AG358">
        <v>51</v>
      </c>
      <c r="AH358">
        <v>14</v>
      </c>
      <c r="AI358">
        <v>16</v>
      </c>
      <c r="AJ358">
        <v>3</v>
      </c>
      <c r="AK358">
        <v>20</v>
      </c>
      <c r="AL358" t="s">
        <v>74</v>
      </c>
      <c r="AM358" t="s">
        <v>74</v>
      </c>
      <c r="AN358" t="s">
        <v>74</v>
      </c>
      <c r="AO358" t="s">
        <v>502</v>
      </c>
      <c r="AP358" t="s">
        <v>74</v>
      </c>
      <c r="AQ358" t="s">
        <v>74</v>
      </c>
      <c r="AR358" t="s">
        <v>74</v>
      </c>
      <c r="AS358" t="s">
        <v>74</v>
      </c>
      <c r="AT358" t="s">
        <v>4603</v>
      </c>
      <c r="AU358">
        <v>2020</v>
      </c>
      <c r="AV358">
        <v>20</v>
      </c>
      <c r="AW358" t="s">
        <v>74</v>
      </c>
      <c r="AX358" t="s">
        <v>74</v>
      </c>
      <c r="AY358" t="s">
        <v>74</v>
      </c>
      <c r="AZ358" t="s">
        <v>74</v>
      </c>
      <c r="BA358" t="s">
        <v>74</v>
      </c>
      <c r="BB358">
        <v>649</v>
      </c>
      <c r="BC358">
        <v>660</v>
      </c>
      <c r="BD358" t="s">
        <v>74</v>
      </c>
      <c r="BE358" t="s">
        <v>7765</v>
      </c>
      <c r="BF358" t="str">
        <f>HYPERLINK("http://dx.doi.org/10.1016/j.omtn.2020.04.008","http://dx.doi.org/10.1016/j.omtn.2020.04.008")</f>
        <v>http://dx.doi.org/10.1016/j.omtn.2020.04.008</v>
      </c>
      <c r="BG358" t="s">
        <v>74</v>
      </c>
      <c r="BH358" t="s">
        <v>74</v>
      </c>
      <c r="BI358" t="s">
        <v>74</v>
      </c>
      <c r="BJ358" t="s">
        <v>506</v>
      </c>
      <c r="BK358" t="s">
        <v>112</v>
      </c>
      <c r="BL358" t="s">
        <v>507</v>
      </c>
      <c r="BM358" t="s">
        <v>74</v>
      </c>
      <c r="BN358">
        <v>32380415</v>
      </c>
      <c r="BO358" t="s">
        <v>74</v>
      </c>
      <c r="BP358" t="s">
        <v>74</v>
      </c>
      <c r="BQ358" t="s">
        <v>74</v>
      </c>
      <c r="BR358" t="s">
        <v>93</v>
      </c>
      <c r="BS358" t="s">
        <v>7766</v>
      </c>
      <c r="BT358" t="str">
        <f>HYPERLINK("https%3A%2F%2Fwww.webofscience.com%2Fwos%2Fwoscc%2Ffull-record%2FWOS:000538968000054","View Full Record in Web of Science")</f>
        <v>View Full Record in Web of Science</v>
      </c>
    </row>
    <row r="359" spans="1:72" x14ac:dyDescent="0.15">
      <c r="A359" t="s">
        <v>72</v>
      </c>
      <c r="B359" t="s">
        <v>8768</v>
      </c>
      <c r="C359" t="s">
        <v>74</v>
      </c>
      <c r="D359" t="s">
        <v>74</v>
      </c>
      <c r="E359" t="s">
        <v>74</v>
      </c>
      <c r="F359" t="s">
        <v>8769</v>
      </c>
      <c r="G359" t="s">
        <v>74</v>
      </c>
      <c r="H359" t="s">
        <v>74</v>
      </c>
      <c r="I359" t="s">
        <v>8770</v>
      </c>
      <c r="J359" t="s">
        <v>8771</v>
      </c>
      <c r="K359" t="s">
        <v>74</v>
      </c>
      <c r="L359" t="s">
        <v>74</v>
      </c>
      <c r="M359" t="s">
        <v>74</v>
      </c>
      <c r="N359" t="s">
        <v>78</v>
      </c>
      <c r="O359" t="s">
        <v>74</v>
      </c>
      <c r="P359" t="s">
        <v>74</v>
      </c>
      <c r="Q359" t="s">
        <v>74</v>
      </c>
      <c r="R359" t="s">
        <v>74</v>
      </c>
      <c r="S359" t="s">
        <v>74</v>
      </c>
      <c r="T359" t="s">
        <v>8772</v>
      </c>
      <c r="U359" t="s">
        <v>8773</v>
      </c>
      <c r="V359" t="s">
        <v>8774</v>
      </c>
      <c r="W359" t="s">
        <v>8775</v>
      </c>
      <c r="X359" t="s">
        <v>8776</v>
      </c>
      <c r="Y359" t="s">
        <v>8777</v>
      </c>
      <c r="Z359" t="s">
        <v>8778</v>
      </c>
      <c r="AA359" t="s">
        <v>74</v>
      </c>
      <c r="AB359" t="s">
        <v>8779</v>
      </c>
      <c r="AC359" t="s">
        <v>74</v>
      </c>
      <c r="AD359" t="s">
        <v>74</v>
      </c>
      <c r="AE359" t="s">
        <v>74</v>
      </c>
      <c r="AF359" t="s">
        <v>74</v>
      </c>
      <c r="AG359">
        <v>42</v>
      </c>
      <c r="AH359">
        <v>14</v>
      </c>
      <c r="AI359">
        <v>14</v>
      </c>
      <c r="AJ359">
        <v>2</v>
      </c>
      <c r="AK359">
        <v>4</v>
      </c>
      <c r="AL359" t="s">
        <v>74</v>
      </c>
      <c r="AM359" t="s">
        <v>74</v>
      </c>
      <c r="AN359" t="s">
        <v>74</v>
      </c>
      <c r="AO359" t="s">
        <v>8780</v>
      </c>
      <c r="AP359" t="s">
        <v>8781</v>
      </c>
      <c r="AQ359" t="s">
        <v>74</v>
      </c>
      <c r="AR359" t="s">
        <v>74</v>
      </c>
      <c r="AS359" t="s">
        <v>74</v>
      </c>
      <c r="AT359" t="s">
        <v>503</v>
      </c>
      <c r="AU359">
        <v>2020</v>
      </c>
      <c r="AV359">
        <v>24</v>
      </c>
      <c r="AW359">
        <v>14</v>
      </c>
      <c r="AX359" t="s">
        <v>74</v>
      </c>
      <c r="AY359" t="s">
        <v>74</v>
      </c>
      <c r="AZ359" t="s">
        <v>74</v>
      </c>
      <c r="BA359" t="s">
        <v>74</v>
      </c>
      <c r="BB359">
        <v>7730</v>
      </c>
      <c r="BC359">
        <v>7742</v>
      </c>
      <c r="BD359" t="s">
        <v>74</v>
      </c>
      <c r="BE359" t="s">
        <v>8782</v>
      </c>
      <c r="BF359" t="str">
        <f>HYPERLINK("http://dx.doi.org/10.1111/jcmm.15402","http://dx.doi.org/10.1111/jcmm.15402")</f>
        <v>http://dx.doi.org/10.1111/jcmm.15402</v>
      </c>
      <c r="BG359" t="s">
        <v>74</v>
      </c>
      <c r="BH359" t="s">
        <v>525</v>
      </c>
      <c r="BI359" t="s">
        <v>74</v>
      </c>
      <c r="BJ359" t="s">
        <v>8783</v>
      </c>
      <c r="BK359" t="s">
        <v>112</v>
      </c>
      <c r="BL359" t="s">
        <v>3298</v>
      </c>
      <c r="BM359" t="s">
        <v>74</v>
      </c>
      <c r="BN359">
        <v>32476275</v>
      </c>
      <c r="BO359" t="s">
        <v>74</v>
      </c>
      <c r="BP359" t="s">
        <v>74</v>
      </c>
      <c r="BQ359" t="s">
        <v>74</v>
      </c>
      <c r="BR359" t="s">
        <v>93</v>
      </c>
      <c r="BS359" t="s">
        <v>8784</v>
      </c>
      <c r="BT359" t="str">
        <f>HYPERLINK("https%3A%2F%2Fwww.webofscience.com%2Fwos%2Fwoscc%2Ffull-record%2FWOS:000536466200001","View Full Record in Web of Science")</f>
        <v>View Full Record in Web of Science</v>
      </c>
    </row>
    <row r="360" spans="1:72" x14ac:dyDescent="0.15">
      <c r="A360" t="s">
        <v>72</v>
      </c>
      <c r="B360" t="s">
        <v>9518</v>
      </c>
      <c r="C360" t="s">
        <v>74</v>
      </c>
      <c r="D360" t="s">
        <v>74</v>
      </c>
      <c r="E360" t="s">
        <v>74</v>
      </c>
      <c r="F360" t="s">
        <v>9519</v>
      </c>
      <c r="G360" t="s">
        <v>74</v>
      </c>
      <c r="H360" t="s">
        <v>74</v>
      </c>
      <c r="I360" t="s">
        <v>9520</v>
      </c>
      <c r="J360" t="s">
        <v>9521</v>
      </c>
      <c r="K360" t="s">
        <v>74</v>
      </c>
      <c r="L360" t="s">
        <v>74</v>
      </c>
      <c r="M360" t="s">
        <v>74</v>
      </c>
      <c r="N360" t="s">
        <v>78</v>
      </c>
      <c r="O360" t="s">
        <v>74</v>
      </c>
      <c r="P360" t="s">
        <v>74</v>
      </c>
      <c r="Q360" t="s">
        <v>74</v>
      </c>
      <c r="R360" t="s">
        <v>74</v>
      </c>
      <c r="S360" t="s">
        <v>74</v>
      </c>
      <c r="T360" t="s">
        <v>9522</v>
      </c>
      <c r="U360" t="s">
        <v>9523</v>
      </c>
      <c r="V360" t="s">
        <v>9524</v>
      </c>
      <c r="W360" t="s">
        <v>9525</v>
      </c>
      <c r="X360" t="s">
        <v>9526</v>
      </c>
      <c r="Y360" t="s">
        <v>9527</v>
      </c>
      <c r="Z360" t="s">
        <v>9528</v>
      </c>
      <c r="AA360" t="s">
        <v>74</v>
      </c>
      <c r="AB360" t="s">
        <v>74</v>
      </c>
      <c r="AC360" t="s">
        <v>74</v>
      </c>
      <c r="AD360" t="s">
        <v>74</v>
      </c>
      <c r="AE360" t="s">
        <v>74</v>
      </c>
      <c r="AF360" t="s">
        <v>74</v>
      </c>
      <c r="AG360">
        <v>47</v>
      </c>
      <c r="AH360">
        <v>14</v>
      </c>
      <c r="AI360">
        <v>15</v>
      </c>
      <c r="AJ360">
        <v>1</v>
      </c>
      <c r="AK360">
        <v>11</v>
      </c>
      <c r="AL360" t="s">
        <v>74</v>
      </c>
      <c r="AM360" t="s">
        <v>74</v>
      </c>
      <c r="AN360" t="s">
        <v>74</v>
      </c>
      <c r="AO360" t="s">
        <v>9529</v>
      </c>
      <c r="AP360" t="s">
        <v>9530</v>
      </c>
      <c r="AQ360" t="s">
        <v>74</v>
      </c>
      <c r="AR360" t="s">
        <v>74</v>
      </c>
      <c r="AS360" t="s">
        <v>74</v>
      </c>
      <c r="AT360" t="s">
        <v>236</v>
      </c>
      <c r="AU360">
        <v>2013</v>
      </c>
      <c r="AV360">
        <v>71</v>
      </c>
      <c r="AW360" t="s">
        <v>74</v>
      </c>
      <c r="AX360" t="s">
        <v>74</v>
      </c>
      <c r="AY360">
        <v>1</v>
      </c>
      <c r="AZ360" t="s">
        <v>74</v>
      </c>
      <c r="BA360" t="s">
        <v>74</v>
      </c>
      <c r="BB360">
        <v>79</v>
      </c>
      <c r="BC360">
        <v>87</v>
      </c>
      <c r="BD360" t="s">
        <v>74</v>
      </c>
      <c r="BE360" t="s">
        <v>9531</v>
      </c>
      <c r="BF360" t="str">
        <f>HYPERLINK("http://dx.doi.org/10.1684/abc.2013.0903","http://dx.doi.org/10.1684/abc.2013.0903")</f>
        <v>http://dx.doi.org/10.1684/abc.2013.0903</v>
      </c>
      <c r="BG360" t="s">
        <v>74</v>
      </c>
      <c r="BH360" t="s">
        <v>74</v>
      </c>
      <c r="BI360" t="s">
        <v>74</v>
      </c>
      <c r="BJ360" t="s">
        <v>9532</v>
      </c>
      <c r="BK360" t="s">
        <v>112</v>
      </c>
      <c r="BL360" t="s">
        <v>9533</v>
      </c>
      <c r="BM360" t="s">
        <v>74</v>
      </c>
      <c r="BN360">
        <v>24235331</v>
      </c>
      <c r="BO360" t="s">
        <v>74</v>
      </c>
      <c r="BP360" t="s">
        <v>74</v>
      </c>
      <c r="BQ360" t="s">
        <v>74</v>
      </c>
      <c r="BR360" t="s">
        <v>93</v>
      </c>
      <c r="BS360" t="s">
        <v>9534</v>
      </c>
      <c r="BT360" t="str">
        <f>HYPERLINK("https%3A%2F%2Fwww.webofscience.com%2Fwos%2Fwoscc%2Ffull-record%2FWOS:000209472300010","View Full Record in Web of Science")</f>
        <v>View Full Record in Web of Science</v>
      </c>
    </row>
    <row r="361" spans="1:72" x14ac:dyDescent="0.15">
      <c r="A361" t="s">
        <v>72</v>
      </c>
      <c r="B361" t="s">
        <v>2043</v>
      </c>
      <c r="C361" t="s">
        <v>74</v>
      </c>
      <c r="D361" t="s">
        <v>74</v>
      </c>
      <c r="E361" t="s">
        <v>74</v>
      </c>
      <c r="F361" t="s">
        <v>2044</v>
      </c>
      <c r="G361" t="s">
        <v>74</v>
      </c>
      <c r="H361" t="s">
        <v>74</v>
      </c>
      <c r="I361" t="s">
        <v>2045</v>
      </c>
      <c r="J361" t="s">
        <v>2046</v>
      </c>
      <c r="K361" t="s">
        <v>74</v>
      </c>
      <c r="L361" t="s">
        <v>74</v>
      </c>
      <c r="M361" t="s">
        <v>74</v>
      </c>
      <c r="N361" t="s">
        <v>78</v>
      </c>
      <c r="O361" t="s">
        <v>74</v>
      </c>
      <c r="P361" t="s">
        <v>74</v>
      </c>
      <c r="Q361" t="s">
        <v>74</v>
      </c>
      <c r="R361" t="s">
        <v>74</v>
      </c>
      <c r="S361" t="s">
        <v>74</v>
      </c>
      <c r="T361" t="s">
        <v>2047</v>
      </c>
      <c r="U361" t="s">
        <v>2048</v>
      </c>
      <c r="V361" t="s">
        <v>2049</v>
      </c>
      <c r="W361" t="s">
        <v>2050</v>
      </c>
      <c r="X361" t="s">
        <v>2051</v>
      </c>
      <c r="Y361" t="s">
        <v>2052</v>
      </c>
      <c r="Z361" t="s">
        <v>2053</v>
      </c>
      <c r="AA361" t="s">
        <v>2054</v>
      </c>
      <c r="AB361" t="s">
        <v>2055</v>
      </c>
      <c r="AC361" t="s">
        <v>74</v>
      </c>
      <c r="AD361" t="s">
        <v>74</v>
      </c>
      <c r="AE361" t="s">
        <v>74</v>
      </c>
      <c r="AF361" t="s">
        <v>74</v>
      </c>
      <c r="AG361">
        <v>48</v>
      </c>
      <c r="AH361">
        <v>13</v>
      </c>
      <c r="AI361">
        <v>14</v>
      </c>
      <c r="AJ361">
        <v>0</v>
      </c>
      <c r="AK361">
        <v>8</v>
      </c>
      <c r="AL361" t="s">
        <v>74</v>
      </c>
      <c r="AM361" t="s">
        <v>74</v>
      </c>
      <c r="AN361" t="s">
        <v>74</v>
      </c>
      <c r="AO361" t="s">
        <v>2056</v>
      </c>
      <c r="AP361" t="s">
        <v>74</v>
      </c>
      <c r="AQ361" t="s">
        <v>74</v>
      </c>
      <c r="AR361" t="s">
        <v>74</v>
      </c>
      <c r="AS361" t="s">
        <v>74</v>
      </c>
      <c r="AT361" t="s">
        <v>108</v>
      </c>
      <c r="AU361">
        <v>2019</v>
      </c>
      <c r="AV361">
        <v>173</v>
      </c>
      <c r="AW361" t="s">
        <v>74</v>
      </c>
      <c r="AX361" t="s">
        <v>74</v>
      </c>
      <c r="AY361" t="s">
        <v>74</v>
      </c>
      <c r="AZ361" t="s">
        <v>74</v>
      </c>
      <c r="BA361" t="s">
        <v>74</v>
      </c>
      <c r="BB361">
        <v>141</v>
      </c>
      <c r="BC361">
        <v>150</v>
      </c>
      <c r="BD361" t="s">
        <v>74</v>
      </c>
      <c r="BE361" t="s">
        <v>2057</v>
      </c>
      <c r="BF361" t="str">
        <f>HYPERLINK("http://dx.doi.org/10.1016/j.thromres.2018.11.026","http://dx.doi.org/10.1016/j.thromres.2018.11.026")</f>
        <v>http://dx.doi.org/10.1016/j.thromres.2018.11.026</v>
      </c>
      <c r="BG361" t="s">
        <v>74</v>
      </c>
      <c r="BH361" t="s">
        <v>74</v>
      </c>
      <c r="BI361" t="s">
        <v>74</v>
      </c>
      <c r="BJ361" t="s">
        <v>1635</v>
      </c>
      <c r="BK361" t="s">
        <v>112</v>
      </c>
      <c r="BL361" t="s">
        <v>1636</v>
      </c>
      <c r="BM361" t="s">
        <v>74</v>
      </c>
      <c r="BN361">
        <v>30530119</v>
      </c>
      <c r="BO361" t="s">
        <v>74</v>
      </c>
      <c r="BP361" t="s">
        <v>74</v>
      </c>
      <c r="BQ361" t="s">
        <v>74</v>
      </c>
      <c r="BR361" t="s">
        <v>93</v>
      </c>
      <c r="BS361" t="s">
        <v>2058</v>
      </c>
      <c r="BT361" t="str">
        <f>HYPERLINK("https%3A%2F%2Fwww.webofscience.com%2Fwos%2Fwoscc%2Ffull-record%2FWOS:000454370700022","View Full Record in Web of Science")</f>
        <v>View Full Record in Web of Science</v>
      </c>
    </row>
    <row r="362" spans="1:72" x14ac:dyDescent="0.15">
      <c r="A362" t="s">
        <v>72</v>
      </c>
      <c r="B362" t="s">
        <v>2604</v>
      </c>
      <c r="C362" t="s">
        <v>74</v>
      </c>
      <c r="D362" t="s">
        <v>74</v>
      </c>
      <c r="E362" t="s">
        <v>74</v>
      </c>
      <c r="F362" t="s">
        <v>2605</v>
      </c>
      <c r="G362" t="s">
        <v>74</v>
      </c>
      <c r="H362" t="s">
        <v>74</v>
      </c>
      <c r="I362" t="s">
        <v>2606</v>
      </c>
      <c r="J362" t="s">
        <v>2607</v>
      </c>
      <c r="K362" t="s">
        <v>74</v>
      </c>
      <c r="L362" t="s">
        <v>74</v>
      </c>
      <c r="M362" t="s">
        <v>74</v>
      </c>
      <c r="N362" t="s">
        <v>78</v>
      </c>
      <c r="O362" t="s">
        <v>74</v>
      </c>
      <c r="P362" t="s">
        <v>74</v>
      </c>
      <c r="Q362" t="s">
        <v>74</v>
      </c>
      <c r="R362" t="s">
        <v>74</v>
      </c>
      <c r="S362" t="s">
        <v>74</v>
      </c>
      <c r="T362" t="s">
        <v>2608</v>
      </c>
      <c r="U362" t="s">
        <v>2609</v>
      </c>
      <c r="V362" t="s">
        <v>2610</v>
      </c>
      <c r="W362" t="s">
        <v>2611</v>
      </c>
      <c r="X362" t="s">
        <v>2612</v>
      </c>
      <c r="Y362" t="s">
        <v>2613</v>
      </c>
      <c r="Z362" t="s">
        <v>2614</v>
      </c>
      <c r="AA362" t="s">
        <v>2615</v>
      </c>
      <c r="AB362" t="s">
        <v>2616</v>
      </c>
      <c r="AC362" t="s">
        <v>74</v>
      </c>
      <c r="AD362" t="s">
        <v>74</v>
      </c>
      <c r="AE362" t="s">
        <v>74</v>
      </c>
      <c r="AF362" t="s">
        <v>74</v>
      </c>
      <c r="AG362">
        <v>33</v>
      </c>
      <c r="AH362">
        <v>13</v>
      </c>
      <c r="AI362">
        <v>13</v>
      </c>
      <c r="AJ362">
        <v>3</v>
      </c>
      <c r="AK362">
        <v>6</v>
      </c>
      <c r="AL362" t="s">
        <v>74</v>
      </c>
      <c r="AM362" t="s">
        <v>74</v>
      </c>
      <c r="AN362" t="s">
        <v>74</v>
      </c>
      <c r="AO362" t="s">
        <v>2617</v>
      </c>
      <c r="AP362" t="s">
        <v>2618</v>
      </c>
      <c r="AQ362" t="s">
        <v>74</v>
      </c>
      <c r="AR362" t="s">
        <v>74</v>
      </c>
      <c r="AS362" t="s">
        <v>74</v>
      </c>
      <c r="AT362" t="s">
        <v>236</v>
      </c>
      <c r="AU362">
        <v>2020</v>
      </c>
      <c r="AV362">
        <v>27</v>
      </c>
      <c r="AW362">
        <v>11</v>
      </c>
      <c r="AX362" t="s">
        <v>74</v>
      </c>
      <c r="AY362" t="s">
        <v>74</v>
      </c>
      <c r="AZ362" t="s">
        <v>74</v>
      </c>
      <c r="BA362" t="s">
        <v>74</v>
      </c>
      <c r="BB362">
        <v>1039</v>
      </c>
      <c r="BC362">
        <v>1049</v>
      </c>
      <c r="BD362" t="s">
        <v>74</v>
      </c>
      <c r="BE362" t="s">
        <v>2619</v>
      </c>
      <c r="BF362" t="str">
        <f>HYPERLINK("http://dx.doi.org/10.1111/iju.14345","http://dx.doi.org/10.1111/iju.14345")</f>
        <v>http://dx.doi.org/10.1111/iju.14345</v>
      </c>
      <c r="BG362" t="s">
        <v>74</v>
      </c>
      <c r="BH362" t="s">
        <v>922</v>
      </c>
      <c r="BI362" t="s">
        <v>74</v>
      </c>
      <c r="BJ362" t="s">
        <v>1293</v>
      </c>
      <c r="BK362" t="s">
        <v>112</v>
      </c>
      <c r="BL362" t="s">
        <v>1293</v>
      </c>
      <c r="BM362" t="s">
        <v>74</v>
      </c>
      <c r="BN362">
        <v>32794300</v>
      </c>
      <c r="BO362" t="s">
        <v>74</v>
      </c>
      <c r="BP362" t="s">
        <v>74</v>
      </c>
      <c r="BQ362" t="s">
        <v>74</v>
      </c>
      <c r="BR362" t="s">
        <v>93</v>
      </c>
      <c r="BS362" t="s">
        <v>2620</v>
      </c>
      <c r="BT362" t="str">
        <f>HYPERLINK("https%3A%2F%2Fwww.webofscience.com%2Fwos%2Fwoscc%2Ffull-record%2FWOS:000559460000001","View Full Record in Web of Science")</f>
        <v>View Full Record in Web of Science</v>
      </c>
    </row>
    <row r="363" spans="1:72" x14ac:dyDescent="0.15">
      <c r="A363" t="s">
        <v>72</v>
      </c>
      <c r="B363" t="s">
        <v>3888</v>
      </c>
      <c r="C363" t="s">
        <v>74</v>
      </c>
      <c r="D363" t="s">
        <v>74</v>
      </c>
      <c r="E363" t="s">
        <v>74</v>
      </c>
      <c r="F363" t="s">
        <v>3889</v>
      </c>
      <c r="G363" t="s">
        <v>74</v>
      </c>
      <c r="H363" t="s">
        <v>74</v>
      </c>
      <c r="I363" t="s">
        <v>3890</v>
      </c>
      <c r="J363" t="s">
        <v>151</v>
      </c>
      <c r="K363" t="s">
        <v>74</v>
      </c>
      <c r="L363" t="s">
        <v>74</v>
      </c>
      <c r="M363" t="s">
        <v>74</v>
      </c>
      <c r="N363" t="s">
        <v>78</v>
      </c>
      <c r="O363" t="s">
        <v>74</v>
      </c>
      <c r="P363" t="s">
        <v>74</v>
      </c>
      <c r="Q363" t="s">
        <v>74</v>
      </c>
      <c r="R363" t="s">
        <v>74</v>
      </c>
      <c r="S363" t="s">
        <v>74</v>
      </c>
      <c r="T363" t="s">
        <v>3891</v>
      </c>
      <c r="U363" t="s">
        <v>3892</v>
      </c>
      <c r="V363" t="s">
        <v>3893</v>
      </c>
      <c r="W363" t="s">
        <v>3894</v>
      </c>
      <c r="X363" t="s">
        <v>3895</v>
      </c>
      <c r="Y363" t="s">
        <v>3896</v>
      </c>
      <c r="Z363" t="s">
        <v>3897</v>
      </c>
      <c r="AA363" t="s">
        <v>3898</v>
      </c>
      <c r="AB363" t="s">
        <v>3899</v>
      </c>
      <c r="AC363" t="s">
        <v>74</v>
      </c>
      <c r="AD363" t="s">
        <v>74</v>
      </c>
      <c r="AE363" t="s">
        <v>74</v>
      </c>
      <c r="AF363" t="s">
        <v>74</v>
      </c>
      <c r="AG363">
        <v>53</v>
      </c>
      <c r="AH363">
        <v>13</v>
      </c>
      <c r="AI363">
        <v>13</v>
      </c>
      <c r="AJ363">
        <v>2</v>
      </c>
      <c r="AK363">
        <v>3</v>
      </c>
      <c r="AL363" t="s">
        <v>74</v>
      </c>
      <c r="AM363" t="s">
        <v>74</v>
      </c>
      <c r="AN363" t="s">
        <v>74</v>
      </c>
      <c r="AO363" t="s">
        <v>74</v>
      </c>
      <c r="AP363" t="s">
        <v>160</v>
      </c>
      <c r="AQ363" t="s">
        <v>74</v>
      </c>
      <c r="AR363" t="s">
        <v>74</v>
      </c>
      <c r="AS363" t="s">
        <v>74</v>
      </c>
      <c r="AT363" t="s">
        <v>818</v>
      </c>
      <c r="AU363">
        <v>2020</v>
      </c>
      <c r="AV363">
        <v>12</v>
      </c>
      <c r="AW363">
        <v>8</v>
      </c>
      <c r="AX363" t="s">
        <v>74</v>
      </c>
      <c r="AY363" t="s">
        <v>74</v>
      </c>
      <c r="AZ363" t="s">
        <v>74</v>
      </c>
      <c r="BA363" t="s">
        <v>74</v>
      </c>
      <c r="BB363" t="s">
        <v>74</v>
      </c>
      <c r="BC363" t="s">
        <v>74</v>
      </c>
      <c r="BD363">
        <v>2041</v>
      </c>
      <c r="BE363" t="s">
        <v>3900</v>
      </c>
      <c r="BF363" t="str">
        <f>HYPERLINK("http://dx.doi.org/10.3390/cancers12082041","http://dx.doi.org/10.3390/cancers12082041")</f>
        <v>http://dx.doi.org/10.3390/cancers12082041</v>
      </c>
      <c r="BG363" t="s">
        <v>74</v>
      </c>
      <c r="BH363" t="s">
        <v>74</v>
      </c>
      <c r="BI363" t="s">
        <v>74</v>
      </c>
      <c r="BJ363" t="s">
        <v>146</v>
      </c>
      <c r="BK363" t="s">
        <v>112</v>
      </c>
      <c r="BL363" t="s">
        <v>146</v>
      </c>
      <c r="BM363" t="s">
        <v>74</v>
      </c>
      <c r="BN363">
        <v>32722209</v>
      </c>
      <c r="BO363" t="s">
        <v>74</v>
      </c>
      <c r="BP363" t="s">
        <v>74</v>
      </c>
      <c r="BQ363" t="s">
        <v>74</v>
      </c>
      <c r="BR363" t="s">
        <v>93</v>
      </c>
      <c r="BS363" t="s">
        <v>3901</v>
      </c>
      <c r="BT363" t="str">
        <f>HYPERLINK("https%3A%2F%2Fwww.webofscience.com%2Fwos%2Fwoscc%2Ffull-record%2FWOS:000579050500001","View Full Record in Web of Science")</f>
        <v>View Full Record in Web of Science</v>
      </c>
    </row>
    <row r="364" spans="1:72" x14ac:dyDescent="0.15">
      <c r="A364" t="s">
        <v>72</v>
      </c>
      <c r="B364" t="s">
        <v>4130</v>
      </c>
      <c r="C364" t="s">
        <v>74</v>
      </c>
      <c r="D364" t="s">
        <v>74</v>
      </c>
      <c r="E364" t="s">
        <v>74</v>
      </c>
      <c r="F364" t="s">
        <v>4131</v>
      </c>
      <c r="G364" t="s">
        <v>74</v>
      </c>
      <c r="H364" t="s">
        <v>74</v>
      </c>
      <c r="I364" t="s">
        <v>4132</v>
      </c>
      <c r="J364" t="s">
        <v>4133</v>
      </c>
      <c r="K364" t="s">
        <v>74</v>
      </c>
      <c r="L364" t="s">
        <v>74</v>
      </c>
      <c r="M364" t="s">
        <v>74</v>
      </c>
      <c r="N364" t="s">
        <v>78</v>
      </c>
      <c r="O364" t="s">
        <v>74</v>
      </c>
      <c r="P364" t="s">
        <v>74</v>
      </c>
      <c r="Q364" t="s">
        <v>74</v>
      </c>
      <c r="R364" t="s">
        <v>74</v>
      </c>
      <c r="S364" t="s">
        <v>74</v>
      </c>
      <c r="T364" t="s">
        <v>4134</v>
      </c>
      <c r="U364" t="s">
        <v>4135</v>
      </c>
      <c r="V364" t="s">
        <v>4136</v>
      </c>
      <c r="W364" t="s">
        <v>4137</v>
      </c>
      <c r="X364" t="s">
        <v>4138</v>
      </c>
      <c r="Y364" t="s">
        <v>4139</v>
      </c>
      <c r="Z364" t="s">
        <v>4140</v>
      </c>
      <c r="AA364" t="s">
        <v>74</v>
      </c>
      <c r="AB364" t="s">
        <v>74</v>
      </c>
      <c r="AC364" t="s">
        <v>74</v>
      </c>
      <c r="AD364" t="s">
        <v>74</v>
      </c>
      <c r="AE364" t="s">
        <v>74</v>
      </c>
      <c r="AF364" t="s">
        <v>74</v>
      </c>
      <c r="AG364">
        <v>29</v>
      </c>
      <c r="AH364">
        <v>13</v>
      </c>
      <c r="AI364">
        <v>14</v>
      </c>
      <c r="AJ364">
        <v>1</v>
      </c>
      <c r="AK364">
        <v>33</v>
      </c>
      <c r="AL364" t="s">
        <v>74</v>
      </c>
      <c r="AM364" t="s">
        <v>74</v>
      </c>
      <c r="AN364" t="s">
        <v>74</v>
      </c>
      <c r="AO364" t="s">
        <v>4141</v>
      </c>
      <c r="AP364" t="s">
        <v>4142</v>
      </c>
      <c r="AQ364" t="s">
        <v>74</v>
      </c>
      <c r="AR364" t="s">
        <v>74</v>
      </c>
      <c r="AS364" t="s">
        <v>74</v>
      </c>
      <c r="AT364" t="s">
        <v>171</v>
      </c>
      <c r="AU364">
        <v>2012</v>
      </c>
      <c r="AV364">
        <v>22</v>
      </c>
      <c r="AW364">
        <v>4</v>
      </c>
      <c r="AX364" t="s">
        <v>74</v>
      </c>
      <c r="AY364" t="s">
        <v>74</v>
      </c>
      <c r="AZ364" t="s">
        <v>74</v>
      </c>
      <c r="BA364" t="s">
        <v>74</v>
      </c>
      <c r="BB364">
        <v>346</v>
      </c>
      <c r="BC364">
        <v>352</v>
      </c>
      <c r="BD364" t="s">
        <v>74</v>
      </c>
      <c r="BE364" t="s">
        <v>4143</v>
      </c>
      <c r="BF364" t="str">
        <f>HYPERLINK("http://dx.doi.org/10.3109/08982104.2012.710911","http://dx.doi.org/10.3109/08982104.2012.710911")</f>
        <v>http://dx.doi.org/10.3109/08982104.2012.710911</v>
      </c>
      <c r="BG364" t="s">
        <v>74</v>
      </c>
      <c r="BH364" t="s">
        <v>74</v>
      </c>
      <c r="BI364" t="s">
        <v>74</v>
      </c>
      <c r="BJ364" t="s">
        <v>4144</v>
      </c>
      <c r="BK364" t="s">
        <v>112</v>
      </c>
      <c r="BL364" t="s">
        <v>4144</v>
      </c>
      <c r="BM364" t="s">
        <v>74</v>
      </c>
      <c r="BN364">
        <v>22984881</v>
      </c>
      <c r="BO364" t="s">
        <v>74</v>
      </c>
      <c r="BP364" t="s">
        <v>74</v>
      </c>
      <c r="BQ364" t="s">
        <v>74</v>
      </c>
      <c r="BR364" t="s">
        <v>93</v>
      </c>
      <c r="BS364" t="s">
        <v>4145</v>
      </c>
      <c r="BT364" t="str">
        <f>HYPERLINK("https%3A%2F%2Fwww.webofscience.com%2Fwos%2Fwoscc%2Ffull-record%2FWOS:000311552700010","View Full Record in Web of Science")</f>
        <v>View Full Record in Web of Science</v>
      </c>
    </row>
    <row r="365" spans="1:72" x14ac:dyDescent="0.15">
      <c r="A365" t="s">
        <v>72</v>
      </c>
      <c r="B365" t="s">
        <v>4398</v>
      </c>
      <c r="C365" t="s">
        <v>74</v>
      </c>
      <c r="D365" t="s">
        <v>74</v>
      </c>
      <c r="E365" t="s">
        <v>74</v>
      </c>
      <c r="F365" t="s">
        <v>4399</v>
      </c>
      <c r="G365" t="s">
        <v>74</v>
      </c>
      <c r="H365" t="s">
        <v>74</v>
      </c>
      <c r="I365" t="s">
        <v>4400</v>
      </c>
      <c r="J365" t="s">
        <v>4401</v>
      </c>
      <c r="K365" t="s">
        <v>74</v>
      </c>
      <c r="L365" t="s">
        <v>74</v>
      </c>
      <c r="M365" t="s">
        <v>74</v>
      </c>
      <c r="N365" t="s">
        <v>78</v>
      </c>
      <c r="O365" t="s">
        <v>74</v>
      </c>
      <c r="P365" t="s">
        <v>74</v>
      </c>
      <c r="Q365" t="s">
        <v>74</v>
      </c>
      <c r="R365" t="s">
        <v>74</v>
      </c>
      <c r="S365" t="s">
        <v>74</v>
      </c>
      <c r="T365" t="s">
        <v>4402</v>
      </c>
      <c r="U365" t="s">
        <v>4403</v>
      </c>
      <c r="V365" t="s">
        <v>4404</v>
      </c>
      <c r="W365" t="s">
        <v>4405</v>
      </c>
      <c r="X365" t="s">
        <v>4406</v>
      </c>
      <c r="Y365" t="s">
        <v>4407</v>
      </c>
      <c r="Z365" t="s">
        <v>4408</v>
      </c>
      <c r="AA365" t="s">
        <v>4409</v>
      </c>
      <c r="AB365" t="s">
        <v>4410</v>
      </c>
      <c r="AC365" t="s">
        <v>74</v>
      </c>
      <c r="AD365" t="s">
        <v>74</v>
      </c>
      <c r="AE365" t="s">
        <v>74</v>
      </c>
      <c r="AF365" t="s">
        <v>74</v>
      </c>
      <c r="AG365">
        <v>38</v>
      </c>
      <c r="AH365">
        <v>13</v>
      </c>
      <c r="AI365">
        <v>13</v>
      </c>
      <c r="AJ365">
        <v>0</v>
      </c>
      <c r="AK365">
        <v>11</v>
      </c>
      <c r="AL365" t="s">
        <v>74</v>
      </c>
      <c r="AM365" t="s">
        <v>74</v>
      </c>
      <c r="AN365" t="s">
        <v>74</v>
      </c>
      <c r="AO365" t="s">
        <v>4411</v>
      </c>
      <c r="AP365" t="s">
        <v>4412</v>
      </c>
      <c r="AQ365" t="s">
        <v>74</v>
      </c>
      <c r="AR365" t="s">
        <v>74</v>
      </c>
      <c r="AS365" t="s">
        <v>74</v>
      </c>
      <c r="AT365" t="s">
        <v>4413</v>
      </c>
      <c r="AU365">
        <v>2019</v>
      </c>
      <c r="AV365">
        <v>299</v>
      </c>
      <c r="AW365" t="s">
        <v>74</v>
      </c>
      <c r="AX365" t="s">
        <v>74</v>
      </c>
      <c r="AY365" t="s">
        <v>74</v>
      </c>
      <c r="AZ365" t="s">
        <v>74</v>
      </c>
      <c r="BA365" t="s">
        <v>74</v>
      </c>
      <c r="BB365">
        <v>66</v>
      </c>
      <c r="BC365">
        <v>71</v>
      </c>
      <c r="BD365" t="s">
        <v>74</v>
      </c>
      <c r="BE365" t="s">
        <v>4414</v>
      </c>
      <c r="BF365" t="str">
        <f>HYPERLINK("http://dx.doi.org/10.1016/j.jbiotec.2019.04.018","http://dx.doi.org/10.1016/j.jbiotec.2019.04.018")</f>
        <v>http://dx.doi.org/10.1016/j.jbiotec.2019.04.018</v>
      </c>
      <c r="BG365" t="s">
        <v>74</v>
      </c>
      <c r="BH365" t="s">
        <v>74</v>
      </c>
      <c r="BI365" t="s">
        <v>74</v>
      </c>
      <c r="BJ365" t="s">
        <v>4415</v>
      </c>
      <c r="BK365" t="s">
        <v>112</v>
      </c>
      <c r="BL365" t="s">
        <v>4415</v>
      </c>
      <c r="BM365" t="s">
        <v>74</v>
      </c>
      <c r="BN365">
        <v>31063814</v>
      </c>
      <c r="BO365" t="s">
        <v>74</v>
      </c>
      <c r="BP365" t="s">
        <v>74</v>
      </c>
      <c r="BQ365" t="s">
        <v>74</v>
      </c>
      <c r="BR365" t="s">
        <v>93</v>
      </c>
      <c r="BS365" t="s">
        <v>4416</v>
      </c>
      <c r="BT365" t="str">
        <f>HYPERLINK("https%3A%2F%2Fwww.webofscience.com%2Fwos%2Fwoscc%2Ffull-record%2FWOS:000468162100010","View Full Record in Web of Science")</f>
        <v>View Full Record in Web of Science</v>
      </c>
    </row>
    <row r="366" spans="1:72" x14ac:dyDescent="0.15">
      <c r="A366" t="s">
        <v>72</v>
      </c>
      <c r="B366" t="s">
        <v>4535</v>
      </c>
      <c r="C366" t="s">
        <v>74</v>
      </c>
      <c r="D366" t="s">
        <v>74</v>
      </c>
      <c r="E366" t="s">
        <v>74</v>
      </c>
      <c r="F366" t="s">
        <v>4536</v>
      </c>
      <c r="G366" t="s">
        <v>74</v>
      </c>
      <c r="H366" t="s">
        <v>74</v>
      </c>
      <c r="I366" t="s">
        <v>4537</v>
      </c>
      <c r="J366" t="s">
        <v>4054</v>
      </c>
      <c r="K366" t="s">
        <v>74</v>
      </c>
      <c r="L366" t="s">
        <v>74</v>
      </c>
      <c r="M366" t="s">
        <v>74</v>
      </c>
      <c r="N366" t="s">
        <v>78</v>
      </c>
      <c r="O366" t="s">
        <v>74</v>
      </c>
      <c r="P366" t="s">
        <v>74</v>
      </c>
      <c r="Q366" t="s">
        <v>74</v>
      </c>
      <c r="R366" t="s">
        <v>74</v>
      </c>
      <c r="S366" t="s">
        <v>74</v>
      </c>
      <c r="T366" t="s">
        <v>4538</v>
      </c>
      <c r="U366" t="s">
        <v>4539</v>
      </c>
      <c r="V366" t="s">
        <v>4540</v>
      </c>
      <c r="W366" t="s">
        <v>4541</v>
      </c>
      <c r="X366" t="s">
        <v>4542</v>
      </c>
      <c r="Y366" t="s">
        <v>4543</v>
      </c>
      <c r="Z366" t="s">
        <v>4544</v>
      </c>
      <c r="AA366" t="s">
        <v>74</v>
      </c>
      <c r="AB366" t="s">
        <v>4545</v>
      </c>
      <c r="AC366" t="s">
        <v>74</v>
      </c>
      <c r="AD366" t="s">
        <v>74</v>
      </c>
      <c r="AE366" t="s">
        <v>74</v>
      </c>
      <c r="AF366" t="s">
        <v>74</v>
      </c>
      <c r="AG366">
        <v>38</v>
      </c>
      <c r="AH366">
        <v>13</v>
      </c>
      <c r="AI366">
        <v>13</v>
      </c>
      <c r="AJ366">
        <v>1</v>
      </c>
      <c r="AK366">
        <v>6</v>
      </c>
      <c r="AL366" t="s">
        <v>74</v>
      </c>
      <c r="AM366" t="s">
        <v>74</v>
      </c>
      <c r="AN366" t="s">
        <v>74</v>
      </c>
      <c r="AO366" t="s">
        <v>74</v>
      </c>
      <c r="AP366" t="s">
        <v>4061</v>
      </c>
      <c r="AQ366" t="s">
        <v>74</v>
      </c>
      <c r="AR366" t="s">
        <v>74</v>
      </c>
      <c r="AS366" t="s">
        <v>74</v>
      </c>
      <c r="AT366" t="s">
        <v>920</v>
      </c>
      <c r="AU366">
        <v>2019</v>
      </c>
      <c r="AV366">
        <v>19</v>
      </c>
      <c r="AW366">
        <v>1</v>
      </c>
      <c r="AX366" t="s">
        <v>74</v>
      </c>
      <c r="AY366" t="s">
        <v>74</v>
      </c>
      <c r="AZ366" t="s">
        <v>74</v>
      </c>
      <c r="BA366" t="s">
        <v>74</v>
      </c>
      <c r="BB366" t="s">
        <v>74</v>
      </c>
      <c r="BC366" t="s">
        <v>74</v>
      </c>
      <c r="BD366">
        <v>251</v>
      </c>
      <c r="BE366" t="s">
        <v>4546</v>
      </c>
      <c r="BF366" t="str">
        <f>HYPERLINK("http://dx.doi.org/10.1186/s12935-019-0978-8","http://dx.doi.org/10.1186/s12935-019-0978-8")</f>
        <v>http://dx.doi.org/10.1186/s12935-019-0978-8</v>
      </c>
      <c r="BG366" t="s">
        <v>74</v>
      </c>
      <c r="BH366" t="s">
        <v>74</v>
      </c>
      <c r="BI366" t="s">
        <v>74</v>
      </c>
      <c r="BJ366" t="s">
        <v>146</v>
      </c>
      <c r="BK366" t="s">
        <v>112</v>
      </c>
      <c r="BL366" t="s">
        <v>146</v>
      </c>
      <c r="BM366" t="s">
        <v>74</v>
      </c>
      <c r="BN366">
        <v>31582907</v>
      </c>
      <c r="BO366" t="s">
        <v>74</v>
      </c>
      <c r="BP366" t="s">
        <v>74</v>
      </c>
      <c r="BQ366" t="s">
        <v>74</v>
      </c>
      <c r="BR366" t="s">
        <v>93</v>
      </c>
      <c r="BS366" t="s">
        <v>4547</v>
      </c>
      <c r="BT366" t="str">
        <f>HYPERLINK("https%3A%2F%2Fwww.webofscience.com%2Fwos%2Fwoscc%2Ffull-record%2FWOS:000488473300001","View Full Record in Web of Science")</f>
        <v>View Full Record in Web of Science</v>
      </c>
    </row>
    <row r="367" spans="1:72" x14ac:dyDescent="0.15">
      <c r="A367" t="s">
        <v>72</v>
      </c>
      <c r="B367" t="s">
        <v>5401</v>
      </c>
      <c r="C367" t="s">
        <v>74</v>
      </c>
      <c r="D367" t="s">
        <v>74</v>
      </c>
      <c r="E367" t="s">
        <v>74</v>
      </c>
      <c r="F367" t="s">
        <v>5402</v>
      </c>
      <c r="G367" t="s">
        <v>74</v>
      </c>
      <c r="H367" t="s">
        <v>74</v>
      </c>
      <c r="I367" t="s">
        <v>5403</v>
      </c>
      <c r="J367" t="s">
        <v>4054</v>
      </c>
      <c r="K367" t="s">
        <v>74</v>
      </c>
      <c r="L367" t="s">
        <v>74</v>
      </c>
      <c r="M367" t="s">
        <v>74</v>
      </c>
      <c r="N367" t="s">
        <v>78</v>
      </c>
      <c r="O367" t="s">
        <v>74</v>
      </c>
      <c r="P367" t="s">
        <v>74</v>
      </c>
      <c r="Q367" t="s">
        <v>74</v>
      </c>
      <c r="R367" t="s">
        <v>74</v>
      </c>
      <c r="S367" t="s">
        <v>74</v>
      </c>
      <c r="T367" t="s">
        <v>5404</v>
      </c>
      <c r="U367" t="s">
        <v>5405</v>
      </c>
      <c r="V367" t="s">
        <v>5406</v>
      </c>
      <c r="W367" t="s">
        <v>5407</v>
      </c>
      <c r="X367" t="s">
        <v>5408</v>
      </c>
      <c r="Y367" t="s">
        <v>5409</v>
      </c>
      <c r="Z367" t="s">
        <v>3655</v>
      </c>
      <c r="AA367" t="s">
        <v>5410</v>
      </c>
      <c r="AB367" t="s">
        <v>5411</v>
      </c>
      <c r="AC367" t="s">
        <v>74</v>
      </c>
      <c r="AD367" t="s">
        <v>74</v>
      </c>
      <c r="AE367" t="s">
        <v>74</v>
      </c>
      <c r="AF367" t="s">
        <v>74</v>
      </c>
      <c r="AG367">
        <v>71</v>
      </c>
      <c r="AH367">
        <v>13</v>
      </c>
      <c r="AI367">
        <v>17</v>
      </c>
      <c r="AJ367">
        <v>0</v>
      </c>
      <c r="AK367">
        <v>7</v>
      </c>
      <c r="AL367" t="s">
        <v>74</v>
      </c>
      <c r="AM367" t="s">
        <v>74</v>
      </c>
      <c r="AN367" t="s">
        <v>74</v>
      </c>
      <c r="AO367" t="s">
        <v>4061</v>
      </c>
      <c r="AP367" t="s">
        <v>74</v>
      </c>
      <c r="AQ367" t="s">
        <v>74</v>
      </c>
      <c r="AR367" t="s">
        <v>74</v>
      </c>
      <c r="AS367" t="s">
        <v>74</v>
      </c>
      <c r="AT367" t="s">
        <v>5412</v>
      </c>
      <c r="AU367">
        <v>2015</v>
      </c>
      <c r="AV367">
        <v>15</v>
      </c>
      <c r="AW367" t="s">
        <v>74</v>
      </c>
      <c r="AX367" t="s">
        <v>74</v>
      </c>
      <c r="AY367" t="s">
        <v>74</v>
      </c>
      <c r="AZ367" t="s">
        <v>74</v>
      </c>
      <c r="BA367" t="s">
        <v>74</v>
      </c>
      <c r="BB367" t="s">
        <v>74</v>
      </c>
      <c r="BC367" t="s">
        <v>74</v>
      </c>
      <c r="BD367">
        <v>32</v>
      </c>
      <c r="BE367" t="s">
        <v>5413</v>
      </c>
      <c r="BF367" t="str">
        <f>HYPERLINK("http://dx.doi.org/10.1186/s12935-015-0180-6","http://dx.doi.org/10.1186/s12935-015-0180-6")</f>
        <v>http://dx.doi.org/10.1186/s12935-015-0180-6</v>
      </c>
      <c r="BG367" t="s">
        <v>74</v>
      </c>
      <c r="BH367" t="s">
        <v>74</v>
      </c>
      <c r="BI367" t="s">
        <v>74</v>
      </c>
      <c r="BJ367" t="s">
        <v>146</v>
      </c>
      <c r="BK367" t="s">
        <v>112</v>
      </c>
      <c r="BL367" t="s">
        <v>146</v>
      </c>
      <c r="BM367" t="s">
        <v>74</v>
      </c>
      <c r="BN367">
        <v>25798073</v>
      </c>
      <c r="BO367" t="s">
        <v>74</v>
      </c>
      <c r="BP367" t="s">
        <v>74</v>
      </c>
      <c r="BQ367" t="s">
        <v>74</v>
      </c>
      <c r="BR367" t="s">
        <v>93</v>
      </c>
      <c r="BS367" t="s">
        <v>5414</v>
      </c>
      <c r="BT367" t="str">
        <f>HYPERLINK("https%3A%2F%2Fwww.webofscience.com%2Fwos%2Fwoscc%2Ffull-record%2FWOS:000351267600001","View Full Record in Web of Science")</f>
        <v>View Full Record in Web of Science</v>
      </c>
    </row>
    <row r="368" spans="1:72" x14ac:dyDescent="0.15">
      <c r="A368" t="s">
        <v>72</v>
      </c>
      <c r="B368" t="s">
        <v>6521</v>
      </c>
      <c r="C368" t="s">
        <v>74</v>
      </c>
      <c r="D368" t="s">
        <v>74</v>
      </c>
      <c r="E368" t="s">
        <v>74</v>
      </c>
      <c r="F368" t="s">
        <v>6522</v>
      </c>
      <c r="G368" t="s">
        <v>74</v>
      </c>
      <c r="H368" t="s">
        <v>74</v>
      </c>
      <c r="I368" t="s">
        <v>6523</v>
      </c>
      <c r="J368" t="s">
        <v>2960</v>
      </c>
      <c r="K368" t="s">
        <v>74</v>
      </c>
      <c r="L368" t="s">
        <v>74</v>
      </c>
      <c r="M368" t="s">
        <v>74</v>
      </c>
      <c r="N368" t="s">
        <v>78</v>
      </c>
      <c r="O368" t="s">
        <v>74</v>
      </c>
      <c r="P368" t="s">
        <v>74</v>
      </c>
      <c r="Q368" t="s">
        <v>74</v>
      </c>
      <c r="R368" t="s">
        <v>74</v>
      </c>
      <c r="S368" t="s">
        <v>74</v>
      </c>
      <c r="T368" t="s">
        <v>6524</v>
      </c>
      <c r="U368" t="s">
        <v>6525</v>
      </c>
      <c r="V368" t="s">
        <v>6526</v>
      </c>
      <c r="W368" t="s">
        <v>6527</v>
      </c>
      <c r="X368" t="s">
        <v>6528</v>
      </c>
      <c r="Y368" t="s">
        <v>6529</v>
      </c>
      <c r="Z368" t="s">
        <v>693</v>
      </c>
      <c r="AA368" t="s">
        <v>74</v>
      </c>
      <c r="AB368" t="s">
        <v>6530</v>
      </c>
      <c r="AC368" t="s">
        <v>74</v>
      </c>
      <c r="AD368" t="s">
        <v>74</v>
      </c>
      <c r="AE368" t="s">
        <v>74</v>
      </c>
      <c r="AF368" t="s">
        <v>74</v>
      </c>
      <c r="AG368">
        <v>26</v>
      </c>
      <c r="AH368">
        <v>13</v>
      </c>
      <c r="AI368">
        <v>14</v>
      </c>
      <c r="AJ368">
        <v>5</v>
      </c>
      <c r="AK368">
        <v>56</v>
      </c>
      <c r="AL368" t="s">
        <v>74</v>
      </c>
      <c r="AM368" t="s">
        <v>74</v>
      </c>
      <c r="AN368" t="s">
        <v>74</v>
      </c>
      <c r="AO368" t="s">
        <v>2970</v>
      </c>
      <c r="AP368" t="s">
        <v>2971</v>
      </c>
      <c r="AQ368" t="s">
        <v>74</v>
      </c>
      <c r="AR368" t="s">
        <v>74</v>
      </c>
      <c r="AS368" t="s">
        <v>74</v>
      </c>
      <c r="AT368" t="s">
        <v>88</v>
      </c>
      <c r="AU368">
        <v>2017</v>
      </c>
      <c r="AV368">
        <v>38</v>
      </c>
      <c r="AW368">
        <v>11</v>
      </c>
      <c r="AX368" t="s">
        <v>74</v>
      </c>
      <c r="AY368" t="s">
        <v>74</v>
      </c>
      <c r="AZ368" t="s">
        <v>1075</v>
      </c>
      <c r="BA368" t="s">
        <v>74</v>
      </c>
      <c r="BB368">
        <v>1475</v>
      </c>
      <c r="BC368">
        <v>1482</v>
      </c>
      <c r="BD368" t="s">
        <v>74</v>
      </c>
      <c r="BE368" t="s">
        <v>6531</v>
      </c>
      <c r="BF368" t="str">
        <f>HYPERLINK("http://dx.doi.org/10.1002/elps.201600563","http://dx.doi.org/10.1002/elps.201600563")</f>
        <v>http://dx.doi.org/10.1002/elps.201600563</v>
      </c>
      <c r="BG368" t="s">
        <v>74</v>
      </c>
      <c r="BH368" t="s">
        <v>74</v>
      </c>
      <c r="BI368" t="s">
        <v>74</v>
      </c>
      <c r="BJ368" t="s">
        <v>2973</v>
      </c>
      <c r="BK368" t="s">
        <v>112</v>
      </c>
      <c r="BL368" t="s">
        <v>681</v>
      </c>
      <c r="BM368" t="s">
        <v>74</v>
      </c>
      <c r="BN368">
        <v>28401635</v>
      </c>
      <c r="BO368" t="s">
        <v>74</v>
      </c>
      <c r="BP368" t="s">
        <v>74</v>
      </c>
      <c r="BQ368" t="s">
        <v>74</v>
      </c>
      <c r="BR368" t="s">
        <v>93</v>
      </c>
      <c r="BS368" t="s">
        <v>6532</v>
      </c>
      <c r="BT368" t="str">
        <f>HYPERLINK("https%3A%2F%2Fwww.webofscience.com%2Fwos%2Fwoscc%2Ffull-record%2FWOS:000402622400010","View Full Record in Web of Science")</f>
        <v>View Full Record in Web of Science</v>
      </c>
    </row>
    <row r="369" spans="1:72" x14ac:dyDescent="0.15">
      <c r="A369" t="s">
        <v>72</v>
      </c>
      <c r="B369" t="s">
        <v>6697</v>
      </c>
      <c r="C369" t="s">
        <v>74</v>
      </c>
      <c r="D369" t="s">
        <v>74</v>
      </c>
      <c r="E369" t="s">
        <v>74</v>
      </c>
      <c r="F369" t="s">
        <v>6698</v>
      </c>
      <c r="G369" t="s">
        <v>74</v>
      </c>
      <c r="H369" t="s">
        <v>74</v>
      </c>
      <c r="I369" t="s">
        <v>6699</v>
      </c>
      <c r="J369" t="s">
        <v>6700</v>
      </c>
      <c r="K369" t="s">
        <v>74</v>
      </c>
      <c r="L369" t="s">
        <v>74</v>
      </c>
      <c r="M369" t="s">
        <v>74</v>
      </c>
      <c r="N369" t="s">
        <v>78</v>
      </c>
      <c r="O369" t="s">
        <v>74</v>
      </c>
      <c r="P369" t="s">
        <v>74</v>
      </c>
      <c r="Q369" t="s">
        <v>74</v>
      </c>
      <c r="R369" t="s">
        <v>74</v>
      </c>
      <c r="S369" t="s">
        <v>74</v>
      </c>
      <c r="T369" t="s">
        <v>6701</v>
      </c>
      <c r="U369" t="s">
        <v>6702</v>
      </c>
      <c r="V369" t="s">
        <v>6703</v>
      </c>
      <c r="W369" t="s">
        <v>6704</v>
      </c>
      <c r="X369" t="s">
        <v>6705</v>
      </c>
      <c r="Y369" t="s">
        <v>6706</v>
      </c>
      <c r="Z369" t="s">
        <v>6707</v>
      </c>
      <c r="AA369" t="s">
        <v>74</v>
      </c>
      <c r="AB369" t="s">
        <v>74</v>
      </c>
      <c r="AC369" t="s">
        <v>74</v>
      </c>
      <c r="AD369" t="s">
        <v>74</v>
      </c>
      <c r="AE369" t="s">
        <v>74</v>
      </c>
      <c r="AF369" t="s">
        <v>74</v>
      </c>
      <c r="AG369">
        <v>32</v>
      </c>
      <c r="AH369">
        <v>13</v>
      </c>
      <c r="AI369">
        <v>13</v>
      </c>
      <c r="AJ369">
        <v>3</v>
      </c>
      <c r="AK369">
        <v>7</v>
      </c>
      <c r="AL369" t="s">
        <v>74</v>
      </c>
      <c r="AM369" t="s">
        <v>74</v>
      </c>
      <c r="AN369" t="s">
        <v>74</v>
      </c>
      <c r="AO369" t="s">
        <v>6708</v>
      </c>
      <c r="AP369" t="s">
        <v>6709</v>
      </c>
      <c r="AQ369" t="s">
        <v>74</v>
      </c>
      <c r="AR369" t="s">
        <v>74</v>
      </c>
      <c r="AS369" t="s">
        <v>74</v>
      </c>
      <c r="AT369" t="s">
        <v>1003</v>
      </c>
      <c r="AU369">
        <v>2020</v>
      </c>
      <c r="AV369">
        <v>418</v>
      </c>
      <c r="AW369" t="s">
        <v>74</v>
      </c>
      <c r="AX369" t="s">
        <v>74</v>
      </c>
      <c r="AY369" t="s">
        <v>74</v>
      </c>
      <c r="AZ369" t="s">
        <v>74</v>
      </c>
      <c r="BA369" t="s">
        <v>74</v>
      </c>
      <c r="BB369" t="s">
        <v>74</v>
      </c>
      <c r="BC369" t="s">
        <v>74</v>
      </c>
      <c r="BD369">
        <v>117070</v>
      </c>
      <c r="BE369" t="s">
        <v>6710</v>
      </c>
      <c r="BF369" t="str">
        <f>HYPERLINK("http://dx.doi.org/10.1016/j.jns.2020.117070","http://dx.doi.org/10.1016/j.jns.2020.117070")</f>
        <v>http://dx.doi.org/10.1016/j.jns.2020.117070</v>
      </c>
      <c r="BG369" t="s">
        <v>74</v>
      </c>
      <c r="BH369" t="s">
        <v>74</v>
      </c>
      <c r="BI369" t="s">
        <v>74</v>
      </c>
      <c r="BJ369" t="s">
        <v>2406</v>
      </c>
      <c r="BK369" t="s">
        <v>112</v>
      </c>
      <c r="BL369" t="s">
        <v>2407</v>
      </c>
      <c r="BM369" t="s">
        <v>74</v>
      </c>
      <c r="BN369">
        <v>32836016</v>
      </c>
      <c r="BO369" t="s">
        <v>74</v>
      </c>
      <c r="BP369" t="s">
        <v>74</v>
      </c>
      <c r="BQ369" t="s">
        <v>74</v>
      </c>
      <c r="BR369" t="s">
        <v>93</v>
      </c>
      <c r="BS369" t="s">
        <v>6711</v>
      </c>
      <c r="BT369" t="str">
        <f>HYPERLINK("https%3A%2F%2Fwww.webofscience.com%2Fwos%2Fwoscc%2Ffull-record%2FWOS:000582930900005","View Full Record in Web of Science")</f>
        <v>View Full Record in Web of Science</v>
      </c>
    </row>
    <row r="370" spans="1:72" x14ac:dyDescent="0.15">
      <c r="A370" t="s">
        <v>72</v>
      </c>
      <c r="B370" t="s">
        <v>7426</v>
      </c>
      <c r="C370" t="s">
        <v>74</v>
      </c>
      <c r="D370" t="s">
        <v>74</v>
      </c>
      <c r="E370" t="s">
        <v>74</v>
      </c>
      <c r="F370" t="s">
        <v>7427</v>
      </c>
      <c r="G370" t="s">
        <v>74</v>
      </c>
      <c r="H370" t="s">
        <v>74</v>
      </c>
      <c r="I370" t="s">
        <v>7428</v>
      </c>
      <c r="J370" t="s">
        <v>1263</v>
      </c>
      <c r="K370" t="s">
        <v>74</v>
      </c>
      <c r="L370" t="s">
        <v>74</v>
      </c>
      <c r="M370" t="s">
        <v>74</v>
      </c>
      <c r="N370" t="s">
        <v>78</v>
      </c>
      <c r="O370" t="s">
        <v>74</v>
      </c>
      <c r="P370" t="s">
        <v>74</v>
      </c>
      <c r="Q370" t="s">
        <v>74</v>
      </c>
      <c r="R370" t="s">
        <v>74</v>
      </c>
      <c r="S370" t="s">
        <v>74</v>
      </c>
      <c r="T370" t="s">
        <v>7429</v>
      </c>
      <c r="U370" t="s">
        <v>7430</v>
      </c>
      <c r="V370" t="s">
        <v>7431</v>
      </c>
      <c r="W370" t="s">
        <v>7432</v>
      </c>
      <c r="X370" t="s">
        <v>7433</v>
      </c>
      <c r="Y370" t="s">
        <v>7434</v>
      </c>
      <c r="Z370" t="s">
        <v>7435</v>
      </c>
      <c r="AA370" t="s">
        <v>7436</v>
      </c>
      <c r="AB370" t="s">
        <v>7437</v>
      </c>
      <c r="AC370" t="s">
        <v>74</v>
      </c>
      <c r="AD370" t="s">
        <v>74</v>
      </c>
      <c r="AE370" t="s">
        <v>74</v>
      </c>
      <c r="AF370" t="s">
        <v>74</v>
      </c>
      <c r="AG370">
        <v>44</v>
      </c>
      <c r="AH370">
        <v>13</v>
      </c>
      <c r="AI370">
        <v>13</v>
      </c>
      <c r="AJ370">
        <v>1</v>
      </c>
      <c r="AK370">
        <v>2</v>
      </c>
      <c r="AL370" t="s">
        <v>74</v>
      </c>
      <c r="AM370" t="s">
        <v>74</v>
      </c>
      <c r="AN370" t="s">
        <v>74</v>
      </c>
      <c r="AO370" t="s">
        <v>74</v>
      </c>
      <c r="AP370" t="s">
        <v>1272</v>
      </c>
      <c r="AQ370" t="s">
        <v>74</v>
      </c>
      <c r="AR370" t="s">
        <v>74</v>
      </c>
      <c r="AS370" t="s">
        <v>74</v>
      </c>
      <c r="AT370" t="s">
        <v>659</v>
      </c>
      <c r="AU370">
        <v>2020</v>
      </c>
      <c r="AV370">
        <v>13</v>
      </c>
      <c r="AW370">
        <v>9</v>
      </c>
      <c r="AX370" t="s">
        <v>74</v>
      </c>
      <c r="AY370" t="s">
        <v>74</v>
      </c>
      <c r="AZ370" t="s">
        <v>74</v>
      </c>
      <c r="BA370" t="s">
        <v>74</v>
      </c>
      <c r="BB370" t="s">
        <v>74</v>
      </c>
      <c r="BC370" t="s">
        <v>74</v>
      </c>
      <c r="BD370">
        <v>241</v>
      </c>
      <c r="BE370" t="s">
        <v>7438</v>
      </c>
      <c r="BF370" t="str">
        <f>HYPERLINK("http://dx.doi.org/10.3390/ph13090241","http://dx.doi.org/10.3390/ph13090241")</f>
        <v>http://dx.doi.org/10.3390/ph13090241</v>
      </c>
      <c r="BG370" t="s">
        <v>74</v>
      </c>
      <c r="BH370" t="s">
        <v>74</v>
      </c>
      <c r="BI370" t="s">
        <v>74</v>
      </c>
      <c r="BJ370" t="s">
        <v>1274</v>
      </c>
      <c r="BK370" t="s">
        <v>112</v>
      </c>
      <c r="BL370" t="s">
        <v>1275</v>
      </c>
      <c r="BM370" t="s">
        <v>74</v>
      </c>
      <c r="BN370">
        <v>32932883</v>
      </c>
      <c r="BO370" t="s">
        <v>74</v>
      </c>
      <c r="BP370" t="s">
        <v>74</v>
      </c>
      <c r="BQ370" t="s">
        <v>74</v>
      </c>
      <c r="BR370" t="s">
        <v>93</v>
      </c>
      <c r="BS370" t="s">
        <v>7439</v>
      </c>
      <c r="BT370" t="str">
        <f>HYPERLINK("https%3A%2F%2Fwww.webofscience.com%2Fwos%2Fwoscc%2Ffull-record%2FWOS:000581678400001","View Full Record in Web of Science")</f>
        <v>View Full Record in Web of Science</v>
      </c>
    </row>
    <row r="371" spans="1:72" x14ac:dyDescent="0.15">
      <c r="A371" t="s">
        <v>72</v>
      </c>
      <c r="B371" t="s">
        <v>8785</v>
      </c>
      <c r="C371" t="s">
        <v>74</v>
      </c>
      <c r="D371" t="s">
        <v>74</v>
      </c>
      <c r="E371" t="s">
        <v>74</v>
      </c>
      <c r="F371" t="s">
        <v>8786</v>
      </c>
      <c r="G371" t="s">
        <v>74</v>
      </c>
      <c r="H371" t="s">
        <v>74</v>
      </c>
      <c r="I371" t="s">
        <v>8787</v>
      </c>
      <c r="J371" t="s">
        <v>8788</v>
      </c>
      <c r="K371" t="s">
        <v>74</v>
      </c>
      <c r="L371" t="s">
        <v>74</v>
      </c>
      <c r="M371" t="s">
        <v>74</v>
      </c>
      <c r="N371" t="s">
        <v>78</v>
      </c>
      <c r="O371" t="s">
        <v>74</v>
      </c>
      <c r="P371" t="s">
        <v>74</v>
      </c>
      <c r="Q371" t="s">
        <v>74</v>
      </c>
      <c r="R371" t="s">
        <v>74</v>
      </c>
      <c r="S371" t="s">
        <v>74</v>
      </c>
      <c r="T371" t="s">
        <v>8789</v>
      </c>
      <c r="U371" t="s">
        <v>8790</v>
      </c>
      <c r="V371" t="s">
        <v>8791</v>
      </c>
      <c r="W371" t="s">
        <v>8792</v>
      </c>
      <c r="X371" t="s">
        <v>8793</v>
      </c>
      <c r="Y371" t="s">
        <v>8794</v>
      </c>
      <c r="Z371" t="s">
        <v>8795</v>
      </c>
      <c r="AA371" t="s">
        <v>8796</v>
      </c>
      <c r="AB371" t="s">
        <v>8797</v>
      </c>
      <c r="AC371" t="s">
        <v>74</v>
      </c>
      <c r="AD371" t="s">
        <v>74</v>
      </c>
      <c r="AE371" t="s">
        <v>74</v>
      </c>
      <c r="AF371" t="s">
        <v>74</v>
      </c>
      <c r="AG371">
        <v>44</v>
      </c>
      <c r="AH371">
        <v>13</v>
      </c>
      <c r="AI371">
        <v>13</v>
      </c>
      <c r="AJ371">
        <v>3</v>
      </c>
      <c r="AK371">
        <v>8</v>
      </c>
      <c r="AL371" t="s">
        <v>74</v>
      </c>
      <c r="AM371" t="s">
        <v>74</v>
      </c>
      <c r="AN371" t="s">
        <v>74</v>
      </c>
      <c r="AO371" t="s">
        <v>8798</v>
      </c>
      <c r="AP371" t="s">
        <v>8799</v>
      </c>
      <c r="AQ371" t="s">
        <v>74</v>
      </c>
      <c r="AR371" t="s">
        <v>74</v>
      </c>
      <c r="AS371" t="s">
        <v>74</v>
      </c>
      <c r="AT371" t="s">
        <v>659</v>
      </c>
      <c r="AU371">
        <v>2020</v>
      </c>
      <c r="AV371">
        <v>149</v>
      </c>
      <c r="AW371">
        <v>3</v>
      </c>
      <c r="AX371" t="s">
        <v>74</v>
      </c>
      <c r="AY371" t="s">
        <v>74</v>
      </c>
      <c r="AZ371" t="s">
        <v>74</v>
      </c>
      <c r="BA371" t="s">
        <v>74</v>
      </c>
      <c r="BB371">
        <v>391</v>
      </c>
      <c r="BC371">
        <v>400</v>
      </c>
      <c r="BD371" t="s">
        <v>74</v>
      </c>
      <c r="BE371" t="s">
        <v>8800</v>
      </c>
      <c r="BF371" t="str">
        <f>HYPERLINK("http://dx.doi.org/10.1007/s11060-020-03566-w","http://dx.doi.org/10.1007/s11060-020-03566-w")</f>
        <v>http://dx.doi.org/10.1007/s11060-020-03566-w</v>
      </c>
      <c r="BG371" t="s">
        <v>74</v>
      </c>
      <c r="BH371" t="s">
        <v>3062</v>
      </c>
      <c r="BI371" t="s">
        <v>74</v>
      </c>
      <c r="BJ371" t="s">
        <v>1993</v>
      </c>
      <c r="BK371" t="s">
        <v>112</v>
      </c>
      <c r="BL371" t="s">
        <v>1994</v>
      </c>
      <c r="BM371" t="s">
        <v>74</v>
      </c>
      <c r="BN371">
        <v>32915353</v>
      </c>
      <c r="BO371" t="s">
        <v>74</v>
      </c>
      <c r="BP371" t="s">
        <v>74</v>
      </c>
      <c r="BQ371" t="s">
        <v>74</v>
      </c>
      <c r="BR371" t="s">
        <v>93</v>
      </c>
      <c r="BS371" t="s">
        <v>8801</v>
      </c>
      <c r="BT371" t="str">
        <f>HYPERLINK("https%3A%2F%2Fwww.webofscience.com%2Fwos%2Fwoscc%2Ffull-record%2FWOS:000568795600001","View Full Record in Web of Science")</f>
        <v>View Full Record in Web of Science</v>
      </c>
    </row>
    <row r="372" spans="1:72" x14ac:dyDescent="0.15">
      <c r="A372" t="s">
        <v>72</v>
      </c>
      <c r="B372" t="s">
        <v>9882</v>
      </c>
      <c r="C372" t="s">
        <v>74</v>
      </c>
      <c r="D372" t="s">
        <v>74</v>
      </c>
      <c r="E372" t="s">
        <v>74</v>
      </c>
      <c r="F372" t="s">
        <v>9883</v>
      </c>
      <c r="G372" t="s">
        <v>74</v>
      </c>
      <c r="H372" t="s">
        <v>74</v>
      </c>
      <c r="I372" t="s">
        <v>9884</v>
      </c>
      <c r="J372" t="s">
        <v>6328</v>
      </c>
      <c r="K372" t="s">
        <v>74</v>
      </c>
      <c r="L372" t="s">
        <v>74</v>
      </c>
      <c r="M372" t="s">
        <v>74</v>
      </c>
      <c r="N372" t="s">
        <v>78</v>
      </c>
      <c r="O372" t="s">
        <v>74</v>
      </c>
      <c r="P372" t="s">
        <v>74</v>
      </c>
      <c r="Q372" t="s">
        <v>74</v>
      </c>
      <c r="R372" t="s">
        <v>74</v>
      </c>
      <c r="S372" t="s">
        <v>74</v>
      </c>
      <c r="T372" t="s">
        <v>74</v>
      </c>
      <c r="U372" t="s">
        <v>9885</v>
      </c>
      <c r="V372" t="s">
        <v>9886</v>
      </c>
      <c r="W372" t="s">
        <v>9887</v>
      </c>
      <c r="X372" t="s">
        <v>9888</v>
      </c>
      <c r="Y372" t="s">
        <v>9889</v>
      </c>
      <c r="Z372" t="s">
        <v>9890</v>
      </c>
      <c r="AA372" t="s">
        <v>74</v>
      </c>
      <c r="AB372" t="s">
        <v>74</v>
      </c>
      <c r="AC372" t="s">
        <v>74</v>
      </c>
      <c r="AD372" t="s">
        <v>74</v>
      </c>
      <c r="AE372" t="s">
        <v>74</v>
      </c>
      <c r="AF372" t="s">
        <v>74</v>
      </c>
      <c r="AG372">
        <v>41</v>
      </c>
      <c r="AH372">
        <v>13</v>
      </c>
      <c r="AI372">
        <v>13</v>
      </c>
      <c r="AJ372">
        <v>0</v>
      </c>
      <c r="AK372">
        <v>10</v>
      </c>
      <c r="AL372" t="s">
        <v>74</v>
      </c>
      <c r="AM372" t="s">
        <v>74</v>
      </c>
      <c r="AN372" t="s">
        <v>74</v>
      </c>
      <c r="AO372" t="s">
        <v>6335</v>
      </c>
      <c r="AP372" t="s">
        <v>6336</v>
      </c>
      <c r="AQ372" t="s">
        <v>74</v>
      </c>
      <c r="AR372" t="s">
        <v>74</v>
      </c>
      <c r="AS372" t="s">
        <v>74</v>
      </c>
      <c r="AT372" t="s">
        <v>3441</v>
      </c>
      <c r="AU372">
        <v>2015</v>
      </c>
      <c r="AV372">
        <v>195</v>
      </c>
      <c r="AW372">
        <v>4</v>
      </c>
      <c r="AX372" t="s">
        <v>74</v>
      </c>
      <c r="AY372" t="s">
        <v>74</v>
      </c>
      <c r="AZ372" t="s">
        <v>74</v>
      </c>
      <c r="BA372" t="s">
        <v>74</v>
      </c>
      <c r="BB372">
        <v>1647</v>
      </c>
      <c r="BC372">
        <v>1656</v>
      </c>
      <c r="BD372" t="s">
        <v>74</v>
      </c>
      <c r="BE372" t="s">
        <v>9891</v>
      </c>
      <c r="BF372" t="str">
        <f>HYPERLINK("http://dx.doi.org/10.4049/jimmunol.1500212","http://dx.doi.org/10.4049/jimmunol.1500212")</f>
        <v>http://dx.doi.org/10.4049/jimmunol.1500212</v>
      </c>
      <c r="BG372" t="s">
        <v>74</v>
      </c>
      <c r="BH372" t="s">
        <v>74</v>
      </c>
      <c r="BI372" t="s">
        <v>74</v>
      </c>
      <c r="BJ372" t="s">
        <v>2276</v>
      </c>
      <c r="BK372" t="s">
        <v>112</v>
      </c>
      <c r="BL372" t="s">
        <v>2276</v>
      </c>
      <c r="BM372" t="s">
        <v>74</v>
      </c>
      <c r="BN372">
        <v>26170381</v>
      </c>
      <c r="BO372" t="s">
        <v>74</v>
      </c>
      <c r="BP372" t="s">
        <v>74</v>
      </c>
      <c r="BQ372" t="s">
        <v>74</v>
      </c>
      <c r="BR372" t="s">
        <v>93</v>
      </c>
      <c r="BS372" t="s">
        <v>9892</v>
      </c>
      <c r="BT372" t="str">
        <f>HYPERLINK("https%3A%2F%2Fwww.webofscience.com%2Fwos%2Fwoscc%2Ffull-record%2FWOS:000360013200034","View Full Record in Web of Science")</f>
        <v>View Full Record in Web of Science</v>
      </c>
    </row>
    <row r="373" spans="1:72" x14ac:dyDescent="0.15">
      <c r="A373" t="s">
        <v>72</v>
      </c>
      <c r="B373" t="s">
        <v>10401</v>
      </c>
      <c r="C373" t="s">
        <v>74</v>
      </c>
      <c r="D373" t="s">
        <v>74</v>
      </c>
      <c r="E373" t="s">
        <v>74</v>
      </c>
      <c r="F373" t="s">
        <v>10402</v>
      </c>
      <c r="G373" t="s">
        <v>74</v>
      </c>
      <c r="H373" t="s">
        <v>74</v>
      </c>
      <c r="I373" t="s">
        <v>10403</v>
      </c>
      <c r="J373" t="s">
        <v>4960</v>
      </c>
      <c r="K373" t="s">
        <v>74</v>
      </c>
      <c r="L373" t="s">
        <v>74</v>
      </c>
      <c r="M373" t="s">
        <v>74</v>
      </c>
      <c r="N373" t="s">
        <v>78</v>
      </c>
      <c r="O373" t="s">
        <v>74</v>
      </c>
      <c r="P373" t="s">
        <v>74</v>
      </c>
      <c r="Q373" t="s">
        <v>74</v>
      </c>
      <c r="R373" t="s">
        <v>74</v>
      </c>
      <c r="S373" t="s">
        <v>74</v>
      </c>
      <c r="T373" t="s">
        <v>10404</v>
      </c>
      <c r="U373" t="s">
        <v>10405</v>
      </c>
      <c r="V373" t="s">
        <v>10406</v>
      </c>
      <c r="W373" t="s">
        <v>10407</v>
      </c>
      <c r="X373" t="s">
        <v>10408</v>
      </c>
      <c r="Y373" t="s">
        <v>10409</v>
      </c>
      <c r="Z373" t="s">
        <v>10410</v>
      </c>
      <c r="AA373" t="s">
        <v>10411</v>
      </c>
      <c r="AB373" t="s">
        <v>10412</v>
      </c>
      <c r="AC373" t="s">
        <v>74</v>
      </c>
      <c r="AD373" t="s">
        <v>74</v>
      </c>
      <c r="AE373" t="s">
        <v>74</v>
      </c>
      <c r="AF373" t="s">
        <v>74</v>
      </c>
      <c r="AG373">
        <v>43</v>
      </c>
      <c r="AH373">
        <v>13</v>
      </c>
      <c r="AI373">
        <v>13</v>
      </c>
      <c r="AJ373">
        <v>0</v>
      </c>
      <c r="AK373">
        <v>3</v>
      </c>
      <c r="AL373" t="s">
        <v>74</v>
      </c>
      <c r="AM373" t="s">
        <v>74</v>
      </c>
      <c r="AN373" t="s">
        <v>74</v>
      </c>
      <c r="AO373" t="s">
        <v>74</v>
      </c>
      <c r="AP373" t="s">
        <v>4970</v>
      </c>
      <c r="AQ373" t="s">
        <v>74</v>
      </c>
      <c r="AR373" t="s">
        <v>74</v>
      </c>
      <c r="AS373" t="s">
        <v>74</v>
      </c>
      <c r="AT373" t="s">
        <v>437</v>
      </c>
      <c r="AU373">
        <v>2019</v>
      </c>
      <c r="AV373">
        <v>8</v>
      </c>
      <c r="AW373">
        <v>10</v>
      </c>
      <c r="AX373" t="s">
        <v>74</v>
      </c>
      <c r="AY373" t="s">
        <v>74</v>
      </c>
      <c r="AZ373" t="s">
        <v>74</v>
      </c>
      <c r="BA373" t="s">
        <v>74</v>
      </c>
      <c r="BB373" t="s">
        <v>74</v>
      </c>
      <c r="BC373" t="s">
        <v>74</v>
      </c>
      <c r="BD373">
        <v>1726</v>
      </c>
      <c r="BE373" t="s">
        <v>10413</v>
      </c>
      <c r="BF373" t="str">
        <f>HYPERLINK("http://dx.doi.org/10.3390/jcm8101726","http://dx.doi.org/10.3390/jcm8101726")</f>
        <v>http://dx.doi.org/10.3390/jcm8101726</v>
      </c>
      <c r="BG373" t="s">
        <v>74</v>
      </c>
      <c r="BH373" t="s">
        <v>74</v>
      </c>
      <c r="BI373" t="s">
        <v>74</v>
      </c>
      <c r="BJ373" t="s">
        <v>802</v>
      </c>
      <c r="BK373" t="s">
        <v>112</v>
      </c>
      <c r="BL373" t="s">
        <v>803</v>
      </c>
      <c r="BM373" t="s">
        <v>74</v>
      </c>
      <c r="BN373">
        <v>31635338</v>
      </c>
      <c r="BO373" t="s">
        <v>74</v>
      </c>
      <c r="BP373" t="s">
        <v>74</v>
      </c>
      <c r="BQ373" t="s">
        <v>74</v>
      </c>
      <c r="BR373" t="s">
        <v>93</v>
      </c>
      <c r="BS373" t="s">
        <v>10414</v>
      </c>
      <c r="BT373" t="str">
        <f>HYPERLINK("https%3A%2F%2Fwww.webofscience.com%2Fwos%2Fwoscc%2Ffull-record%2FWOS:000498398500224","View Full Record in Web of Science")</f>
        <v>View Full Record in Web of Science</v>
      </c>
    </row>
    <row r="374" spans="1:72" x14ac:dyDescent="0.15">
      <c r="A374" t="s">
        <v>72</v>
      </c>
      <c r="B374" t="s">
        <v>10654</v>
      </c>
      <c r="C374" t="s">
        <v>74</v>
      </c>
      <c r="D374" t="s">
        <v>74</v>
      </c>
      <c r="E374" t="s">
        <v>74</v>
      </c>
      <c r="F374" t="s">
        <v>10655</v>
      </c>
      <c r="G374" t="s">
        <v>74</v>
      </c>
      <c r="H374" t="s">
        <v>74</v>
      </c>
      <c r="I374" t="s">
        <v>10656</v>
      </c>
      <c r="J374" t="s">
        <v>10657</v>
      </c>
      <c r="K374" t="s">
        <v>74</v>
      </c>
      <c r="L374" t="s">
        <v>74</v>
      </c>
      <c r="M374" t="s">
        <v>74</v>
      </c>
      <c r="N374" t="s">
        <v>78</v>
      </c>
      <c r="O374" t="s">
        <v>74</v>
      </c>
      <c r="P374" t="s">
        <v>74</v>
      </c>
      <c r="Q374" t="s">
        <v>74</v>
      </c>
      <c r="R374" t="s">
        <v>74</v>
      </c>
      <c r="S374" t="s">
        <v>74</v>
      </c>
      <c r="T374" t="s">
        <v>74</v>
      </c>
      <c r="U374" t="s">
        <v>10658</v>
      </c>
      <c r="V374" t="s">
        <v>10659</v>
      </c>
      <c r="W374" t="s">
        <v>10660</v>
      </c>
      <c r="X374" t="s">
        <v>10661</v>
      </c>
      <c r="Y374" t="s">
        <v>10662</v>
      </c>
      <c r="Z374" t="s">
        <v>10663</v>
      </c>
      <c r="AA374" t="s">
        <v>10664</v>
      </c>
      <c r="AB374" t="s">
        <v>10665</v>
      </c>
      <c r="AC374" t="s">
        <v>74</v>
      </c>
      <c r="AD374" t="s">
        <v>74</v>
      </c>
      <c r="AE374" t="s">
        <v>74</v>
      </c>
      <c r="AF374" t="s">
        <v>74</v>
      </c>
      <c r="AG374">
        <v>83</v>
      </c>
      <c r="AH374">
        <v>13</v>
      </c>
      <c r="AI374">
        <v>14</v>
      </c>
      <c r="AJ374">
        <v>4</v>
      </c>
      <c r="AK374">
        <v>35</v>
      </c>
      <c r="AL374" t="s">
        <v>74</v>
      </c>
      <c r="AM374" t="s">
        <v>74</v>
      </c>
      <c r="AN374" t="s">
        <v>74</v>
      </c>
      <c r="AO374" t="s">
        <v>10666</v>
      </c>
      <c r="AP374" t="s">
        <v>10667</v>
      </c>
      <c r="AQ374" t="s">
        <v>74</v>
      </c>
      <c r="AR374" t="s">
        <v>74</v>
      </c>
      <c r="AS374" t="s">
        <v>74</v>
      </c>
      <c r="AT374" t="s">
        <v>7255</v>
      </c>
      <c r="AU374">
        <v>2020</v>
      </c>
      <c r="AV374">
        <v>8</v>
      </c>
      <c r="AW374">
        <v>41</v>
      </c>
      <c r="AX374" t="s">
        <v>74</v>
      </c>
      <c r="AY374" t="s">
        <v>74</v>
      </c>
      <c r="AZ374" t="s">
        <v>74</v>
      </c>
      <c r="BA374" t="s">
        <v>74</v>
      </c>
      <c r="BB374">
        <v>9576</v>
      </c>
      <c r="BC374">
        <v>9588</v>
      </c>
      <c r="BD374" t="s">
        <v>74</v>
      </c>
      <c r="BE374" t="s">
        <v>10668</v>
      </c>
      <c r="BF374" t="str">
        <f>HYPERLINK("http://dx.doi.org/10.1039/d0tb01359e","http://dx.doi.org/10.1039/d0tb01359e")</f>
        <v>http://dx.doi.org/10.1039/d0tb01359e</v>
      </c>
      <c r="BG374" t="s">
        <v>74</v>
      </c>
      <c r="BH374" t="s">
        <v>74</v>
      </c>
      <c r="BI374" t="s">
        <v>74</v>
      </c>
      <c r="BJ374" t="s">
        <v>8638</v>
      </c>
      <c r="BK374" t="s">
        <v>112</v>
      </c>
      <c r="BL374" t="s">
        <v>8639</v>
      </c>
      <c r="BM374" t="s">
        <v>74</v>
      </c>
      <c r="BN374">
        <v>33005912</v>
      </c>
      <c r="BO374" t="s">
        <v>74</v>
      </c>
      <c r="BP374" t="s">
        <v>74</v>
      </c>
      <c r="BQ374" t="s">
        <v>74</v>
      </c>
      <c r="BR374" t="s">
        <v>93</v>
      </c>
      <c r="BS374" t="s">
        <v>10669</v>
      </c>
      <c r="BT374" t="str">
        <f>HYPERLINK("https%3A%2F%2Fwww.webofscience.com%2Fwos%2Fwoscc%2Ffull-record%2FWOS:000582937800013","View Full Record in Web of Science")</f>
        <v>View Full Record in Web of Science</v>
      </c>
    </row>
    <row r="375" spans="1:72" x14ac:dyDescent="0.15">
      <c r="A375" t="s">
        <v>72</v>
      </c>
      <c r="B375" t="s">
        <v>10776</v>
      </c>
      <c r="C375" t="s">
        <v>74</v>
      </c>
      <c r="D375" t="s">
        <v>74</v>
      </c>
      <c r="E375" t="s">
        <v>74</v>
      </c>
      <c r="F375" t="s">
        <v>10777</v>
      </c>
      <c r="G375" t="s">
        <v>74</v>
      </c>
      <c r="H375" t="s">
        <v>74</v>
      </c>
      <c r="I375" t="s">
        <v>10778</v>
      </c>
      <c r="J375" t="s">
        <v>10779</v>
      </c>
      <c r="K375" t="s">
        <v>74</v>
      </c>
      <c r="L375" t="s">
        <v>74</v>
      </c>
      <c r="M375" t="s">
        <v>74</v>
      </c>
      <c r="N375" t="s">
        <v>78</v>
      </c>
      <c r="O375" t="s">
        <v>74</v>
      </c>
      <c r="P375" t="s">
        <v>74</v>
      </c>
      <c r="Q375" t="s">
        <v>74</v>
      </c>
      <c r="R375" t="s">
        <v>74</v>
      </c>
      <c r="S375" t="s">
        <v>74</v>
      </c>
      <c r="T375" t="s">
        <v>10780</v>
      </c>
      <c r="U375" t="s">
        <v>10781</v>
      </c>
      <c r="V375" t="s">
        <v>10782</v>
      </c>
      <c r="W375" t="s">
        <v>10783</v>
      </c>
      <c r="X375" t="s">
        <v>10784</v>
      </c>
      <c r="Y375" t="s">
        <v>10785</v>
      </c>
      <c r="Z375" t="s">
        <v>10786</v>
      </c>
      <c r="AA375" t="s">
        <v>10787</v>
      </c>
      <c r="AB375" t="s">
        <v>10788</v>
      </c>
      <c r="AC375" t="s">
        <v>74</v>
      </c>
      <c r="AD375" t="s">
        <v>74</v>
      </c>
      <c r="AE375" t="s">
        <v>74</v>
      </c>
      <c r="AF375" t="s">
        <v>74</v>
      </c>
      <c r="AG375">
        <v>55</v>
      </c>
      <c r="AH375">
        <v>13</v>
      </c>
      <c r="AI375">
        <v>13</v>
      </c>
      <c r="AJ375">
        <v>0</v>
      </c>
      <c r="AK375">
        <v>8</v>
      </c>
      <c r="AL375" t="s">
        <v>74</v>
      </c>
      <c r="AM375" t="s">
        <v>74</v>
      </c>
      <c r="AN375" t="s">
        <v>74</v>
      </c>
      <c r="AO375" t="s">
        <v>10789</v>
      </c>
      <c r="AP375" t="s">
        <v>10790</v>
      </c>
      <c r="AQ375" t="s">
        <v>74</v>
      </c>
      <c r="AR375" t="s">
        <v>74</v>
      </c>
      <c r="AS375" t="s">
        <v>74</v>
      </c>
      <c r="AT375" t="s">
        <v>640</v>
      </c>
      <c r="AU375">
        <v>2020</v>
      </c>
      <c r="AV375">
        <v>107</v>
      </c>
      <c r="AW375" t="s">
        <v>74</v>
      </c>
      <c r="AX375" t="s">
        <v>74</v>
      </c>
      <c r="AY375" t="s">
        <v>74</v>
      </c>
      <c r="AZ375" t="s">
        <v>74</v>
      </c>
      <c r="BA375" t="s">
        <v>74</v>
      </c>
      <c r="BB375" t="s">
        <v>74</v>
      </c>
      <c r="BC375" t="s">
        <v>74</v>
      </c>
      <c r="BD375">
        <v>102355</v>
      </c>
      <c r="BE375" t="s">
        <v>10791</v>
      </c>
      <c r="BF375" t="str">
        <f>HYPERLINK("http://dx.doi.org/10.1016/j.jaut.2019.102355","http://dx.doi.org/10.1016/j.jaut.2019.102355")</f>
        <v>http://dx.doi.org/10.1016/j.jaut.2019.102355</v>
      </c>
      <c r="BG375" t="s">
        <v>74</v>
      </c>
      <c r="BH375" t="s">
        <v>74</v>
      </c>
      <c r="BI375" t="s">
        <v>74</v>
      </c>
      <c r="BJ375" t="s">
        <v>2276</v>
      </c>
      <c r="BK375" t="s">
        <v>112</v>
      </c>
      <c r="BL375" t="s">
        <v>2276</v>
      </c>
      <c r="BM375" t="s">
        <v>74</v>
      </c>
      <c r="BN375">
        <v>31732191</v>
      </c>
      <c r="BO375" t="s">
        <v>74</v>
      </c>
      <c r="BP375" t="s">
        <v>74</v>
      </c>
      <c r="BQ375" t="s">
        <v>74</v>
      </c>
      <c r="BR375" t="s">
        <v>93</v>
      </c>
      <c r="BS375" t="s">
        <v>10792</v>
      </c>
      <c r="BT375" t="str">
        <f>HYPERLINK("https%3A%2F%2Fwww.webofscience.com%2Fwos%2Fwoscc%2Ffull-record%2FWOS:000514246200003","View Full Record in Web of Science")</f>
        <v>View Full Record in Web of Science</v>
      </c>
    </row>
    <row r="376" spans="1:72" x14ac:dyDescent="0.15">
      <c r="A376" t="s">
        <v>72</v>
      </c>
      <c r="B376" t="s">
        <v>731</v>
      </c>
      <c r="C376" t="s">
        <v>74</v>
      </c>
      <c r="D376" t="s">
        <v>74</v>
      </c>
      <c r="E376" t="s">
        <v>74</v>
      </c>
      <c r="F376" t="s">
        <v>732</v>
      </c>
      <c r="G376" t="s">
        <v>74</v>
      </c>
      <c r="H376" t="s">
        <v>74</v>
      </c>
      <c r="I376" t="s">
        <v>733</v>
      </c>
      <c r="J376" t="s">
        <v>667</v>
      </c>
      <c r="K376" t="s">
        <v>74</v>
      </c>
      <c r="L376" t="s">
        <v>74</v>
      </c>
      <c r="M376" t="s">
        <v>74</v>
      </c>
      <c r="N376" t="s">
        <v>78</v>
      </c>
      <c r="O376" t="s">
        <v>74</v>
      </c>
      <c r="P376" t="s">
        <v>74</v>
      </c>
      <c r="Q376" t="s">
        <v>74</v>
      </c>
      <c r="R376" t="s">
        <v>74</v>
      </c>
      <c r="S376" t="s">
        <v>74</v>
      </c>
      <c r="T376" t="s">
        <v>734</v>
      </c>
      <c r="U376" t="s">
        <v>735</v>
      </c>
      <c r="V376" t="s">
        <v>736</v>
      </c>
      <c r="W376" t="s">
        <v>737</v>
      </c>
      <c r="X376" t="s">
        <v>738</v>
      </c>
      <c r="Y376" t="s">
        <v>739</v>
      </c>
      <c r="Z376" t="s">
        <v>740</v>
      </c>
      <c r="AA376" t="s">
        <v>741</v>
      </c>
      <c r="AB376" t="s">
        <v>742</v>
      </c>
      <c r="AC376" t="s">
        <v>74</v>
      </c>
      <c r="AD376" t="s">
        <v>74</v>
      </c>
      <c r="AE376" t="s">
        <v>74</v>
      </c>
      <c r="AF376" t="s">
        <v>74</v>
      </c>
      <c r="AG376">
        <v>43</v>
      </c>
      <c r="AH376">
        <v>12</v>
      </c>
      <c r="AI376">
        <v>12</v>
      </c>
      <c r="AJ376">
        <v>5</v>
      </c>
      <c r="AK376">
        <v>7</v>
      </c>
      <c r="AL376" t="s">
        <v>74</v>
      </c>
      <c r="AM376" t="s">
        <v>74</v>
      </c>
      <c r="AN376" t="s">
        <v>74</v>
      </c>
      <c r="AO376" t="s">
        <v>74</v>
      </c>
      <c r="AP376" t="s">
        <v>677</v>
      </c>
      <c r="AQ376" t="s">
        <v>74</v>
      </c>
      <c r="AR376" t="s">
        <v>74</v>
      </c>
      <c r="AS376" t="s">
        <v>74</v>
      </c>
      <c r="AT376" t="s">
        <v>743</v>
      </c>
      <c r="AU376">
        <v>2021</v>
      </c>
      <c r="AV376">
        <v>22</v>
      </c>
      <c r="AW376">
        <v>5</v>
      </c>
      <c r="AX376" t="s">
        <v>74</v>
      </c>
      <c r="AY376" t="s">
        <v>74</v>
      </c>
      <c r="AZ376" t="s">
        <v>74</v>
      </c>
      <c r="BA376" t="s">
        <v>74</v>
      </c>
      <c r="BB376" t="s">
        <v>74</v>
      </c>
      <c r="BC376" t="s">
        <v>74</v>
      </c>
      <c r="BD376">
        <v>2423</v>
      </c>
      <c r="BE376" t="s">
        <v>744</v>
      </c>
      <c r="BF376" t="str">
        <f>HYPERLINK("http://dx.doi.org/10.3390/ijms22052423","http://dx.doi.org/10.3390/ijms22052423")</f>
        <v>http://dx.doi.org/10.3390/ijms22052423</v>
      </c>
      <c r="BG376" t="s">
        <v>74</v>
      </c>
      <c r="BH376" t="s">
        <v>74</v>
      </c>
      <c r="BI376" t="s">
        <v>74</v>
      </c>
      <c r="BJ376" t="s">
        <v>680</v>
      </c>
      <c r="BK376" t="s">
        <v>112</v>
      </c>
      <c r="BL376" t="s">
        <v>681</v>
      </c>
      <c r="BM376" t="s">
        <v>74</v>
      </c>
      <c r="BN376">
        <v>33670900</v>
      </c>
      <c r="BO376" t="s">
        <v>74</v>
      </c>
      <c r="BP376" t="s">
        <v>74</v>
      </c>
      <c r="BQ376" t="s">
        <v>74</v>
      </c>
      <c r="BR376" t="s">
        <v>93</v>
      </c>
      <c r="BS376" t="s">
        <v>745</v>
      </c>
      <c r="BT376" t="str">
        <f>HYPERLINK("https%3A%2F%2Fwww.webofscience.com%2Fwos%2Fwoscc%2Ffull-record%2FWOS:000628261300001","View Full Record in Web of Science")</f>
        <v>View Full Record in Web of Science</v>
      </c>
    </row>
    <row r="377" spans="1:72" x14ac:dyDescent="0.15">
      <c r="A377" t="s">
        <v>72</v>
      </c>
      <c r="B377" t="s">
        <v>823</v>
      </c>
      <c r="C377" t="s">
        <v>74</v>
      </c>
      <c r="D377" t="s">
        <v>74</v>
      </c>
      <c r="E377" t="s">
        <v>74</v>
      </c>
      <c r="F377" t="s">
        <v>824</v>
      </c>
      <c r="G377" t="s">
        <v>74</v>
      </c>
      <c r="H377" t="s">
        <v>74</v>
      </c>
      <c r="I377" t="s">
        <v>825</v>
      </c>
      <c r="J377" t="s">
        <v>826</v>
      </c>
      <c r="K377" t="s">
        <v>74</v>
      </c>
      <c r="L377" t="s">
        <v>74</v>
      </c>
      <c r="M377" t="s">
        <v>74</v>
      </c>
      <c r="N377" t="s">
        <v>78</v>
      </c>
      <c r="O377" t="s">
        <v>74</v>
      </c>
      <c r="P377" t="s">
        <v>74</v>
      </c>
      <c r="Q377" t="s">
        <v>74</v>
      </c>
      <c r="R377" t="s">
        <v>74</v>
      </c>
      <c r="S377" t="s">
        <v>74</v>
      </c>
      <c r="T377" t="s">
        <v>827</v>
      </c>
      <c r="U377" t="s">
        <v>828</v>
      </c>
      <c r="V377" t="s">
        <v>829</v>
      </c>
      <c r="W377" t="s">
        <v>830</v>
      </c>
      <c r="X377" t="s">
        <v>831</v>
      </c>
      <c r="Y377" t="s">
        <v>832</v>
      </c>
      <c r="Z377" t="s">
        <v>833</v>
      </c>
      <c r="AA377" t="s">
        <v>834</v>
      </c>
      <c r="AB377" t="s">
        <v>835</v>
      </c>
      <c r="AC377" t="s">
        <v>74</v>
      </c>
      <c r="AD377" t="s">
        <v>74</v>
      </c>
      <c r="AE377" t="s">
        <v>74</v>
      </c>
      <c r="AF377" t="s">
        <v>74</v>
      </c>
      <c r="AG377">
        <v>25</v>
      </c>
      <c r="AH377">
        <v>12</v>
      </c>
      <c r="AI377">
        <v>12</v>
      </c>
      <c r="AJ377">
        <v>0</v>
      </c>
      <c r="AK377">
        <v>6</v>
      </c>
      <c r="AL377" t="s">
        <v>74</v>
      </c>
      <c r="AM377" t="s">
        <v>74</v>
      </c>
      <c r="AN377" t="s">
        <v>74</v>
      </c>
      <c r="AO377" t="s">
        <v>836</v>
      </c>
      <c r="AP377" t="s">
        <v>837</v>
      </c>
      <c r="AQ377" t="s">
        <v>74</v>
      </c>
      <c r="AR377" t="s">
        <v>74</v>
      </c>
      <c r="AS377" t="s">
        <v>74</v>
      </c>
      <c r="AT377" t="s">
        <v>129</v>
      </c>
      <c r="AU377">
        <v>2020</v>
      </c>
      <c r="AV377">
        <v>38</v>
      </c>
      <c r="AW377">
        <v>4</v>
      </c>
      <c r="AX377" t="s">
        <v>74</v>
      </c>
      <c r="AY377" t="s">
        <v>74</v>
      </c>
      <c r="AZ377" t="s">
        <v>74</v>
      </c>
      <c r="BA377" t="s">
        <v>74</v>
      </c>
      <c r="BB377">
        <v>159</v>
      </c>
      <c r="BC377">
        <v>165</v>
      </c>
      <c r="BD377" t="s">
        <v>74</v>
      </c>
      <c r="BE377" t="s">
        <v>838</v>
      </c>
      <c r="BF377" t="str">
        <f>HYPERLINK("http://dx.doi.org/10.1016/j.eime.2019.06.011","http://dx.doi.org/10.1016/j.eime.2019.06.011")</f>
        <v>http://dx.doi.org/10.1016/j.eime.2019.06.011</v>
      </c>
      <c r="BG377" t="s">
        <v>74</v>
      </c>
      <c r="BH377" t="s">
        <v>74</v>
      </c>
      <c r="BI377" t="s">
        <v>74</v>
      </c>
      <c r="BJ377" t="s">
        <v>839</v>
      </c>
      <c r="BK377" t="s">
        <v>112</v>
      </c>
      <c r="BL377" t="s">
        <v>839</v>
      </c>
      <c r="BM377" t="s">
        <v>74</v>
      </c>
      <c r="BN377">
        <v>31395428</v>
      </c>
      <c r="BO377" t="s">
        <v>74</v>
      </c>
      <c r="BP377" t="s">
        <v>74</v>
      </c>
      <c r="BQ377" t="s">
        <v>74</v>
      </c>
      <c r="BR377" t="s">
        <v>93</v>
      </c>
      <c r="BS377" t="s">
        <v>840</v>
      </c>
      <c r="BT377" t="str">
        <f>HYPERLINK("https%3A%2F%2Fwww.webofscience.com%2Fwos%2Fwoscc%2Ffull-record%2FWOS:000530699600004","View Full Record in Web of Science")</f>
        <v>View Full Record in Web of Science</v>
      </c>
    </row>
    <row r="378" spans="1:72" x14ac:dyDescent="0.15">
      <c r="A378" t="s">
        <v>72</v>
      </c>
      <c r="B378" t="s">
        <v>1312</v>
      </c>
      <c r="C378" t="s">
        <v>74</v>
      </c>
      <c r="D378" t="s">
        <v>74</v>
      </c>
      <c r="E378" t="s">
        <v>74</v>
      </c>
      <c r="F378" t="s">
        <v>1313</v>
      </c>
      <c r="G378" t="s">
        <v>74</v>
      </c>
      <c r="H378" t="s">
        <v>74</v>
      </c>
      <c r="I378" t="s">
        <v>1314</v>
      </c>
      <c r="J378" t="s">
        <v>406</v>
      </c>
      <c r="K378" t="s">
        <v>74</v>
      </c>
      <c r="L378" t="s">
        <v>74</v>
      </c>
      <c r="M378" t="s">
        <v>74</v>
      </c>
      <c r="N378" t="s">
        <v>78</v>
      </c>
      <c r="O378" t="s">
        <v>74</v>
      </c>
      <c r="P378" t="s">
        <v>74</v>
      </c>
      <c r="Q378" t="s">
        <v>74</v>
      </c>
      <c r="R378" t="s">
        <v>74</v>
      </c>
      <c r="S378" t="s">
        <v>74</v>
      </c>
      <c r="T378" t="s">
        <v>1315</v>
      </c>
      <c r="U378" t="s">
        <v>1316</v>
      </c>
      <c r="V378" t="s">
        <v>1317</v>
      </c>
      <c r="W378" t="s">
        <v>1318</v>
      </c>
      <c r="X378" t="s">
        <v>1319</v>
      </c>
      <c r="Y378" t="s">
        <v>1320</v>
      </c>
      <c r="Z378" t="s">
        <v>1321</v>
      </c>
      <c r="AA378" t="s">
        <v>74</v>
      </c>
      <c r="AB378" t="s">
        <v>1322</v>
      </c>
      <c r="AC378" t="s">
        <v>74</v>
      </c>
      <c r="AD378" t="s">
        <v>74</v>
      </c>
      <c r="AE378" t="s">
        <v>74</v>
      </c>
      <c r="AF378" t="s">
        <v>74</v>
      </c>
      <c r="AG378">
        <v>28</v>
      </c>
      <c r="AH378">
        <v>12</v>
      </c>
      <c r="AI378">
        <v>13</v>
      </c>
      <c r="AJ378">
        <v>2</v>
      </c>
      <c r="AK378">
        <v>7</v>
      </c>
      <c r="AL378" t="s">
        <v>74</v>
      </c>
      <c r="AM378" t="s">
        <v>74</v>
      </c>
      <c r="AN378" t="s">
        <v>74</v>
      </c>
      <c r="AO378" t="s">
        <v>74</v>
      </c>
      <c r="AP378" t="s">
        <v>416</v>
      </c>
      <c r="AQ378" t="s">
        <v>74</v>
      </c>
      <c r="AR378" t="s">
        <v>74</v>
      </c>
      <c r="AS378" t="s">
        <v>74</v>
      </c>
      <c r="AT378" t="s">
        <v>728</v>
      </c>
      <c r="AU378">
        <v>2020</v>
      </c>
      <c r="AV378">
        <v>9</v>
      </c>
      <c r="AW378">
        <v>1</v>
      </c>
      <c r="AX378" t="s">
        <v>74</v>
      </c>
      <c r="AY378" t="s">
        <v>74</v>
      </c>
      <c r="AZ378" t="s">
        <v>74</v>
      </c>
      <c r="BA378" t="s">
        <v>74</v>
      </c>
      <c r="BB378" t="s">
        <v>74</v>
      </c>
      <c r="BC378" t="s">
        <v>74</v>
      </c>
      <c r="BD378">
        <v>1741176</v>
      </c>
      <c r="BE378" t="s">
        <v>1323</v>
      </c>
      <c r="BF378" t="str">
        <f>HYPERLINK("http://dx.doi.org/10.1080/20013078.2020.1741176","http://dx.doi.org/10.1080/20013078.2020.1741176")</f>
        <v>http://dx.doi.org/10.1080/20013078.2020.1741176</v>
      </c>
      <c r="BG378" t="s">
        <v>74</v>
      </c>
      <c r="BH378" t="s">
        <v>74</v>
      </c>
      <c r="BI378" t="s">
        <v>74</v>
      </c>
      <c r="BJ378" t="s">
        <v>419</v>
      </c>
      <c r="BK378" t="s">
        <v>112</v>
      </c>
      <c r="BL378" t="s">
        <v>419</v>
      </c>
      <c r="BM378" t="s">
        <v>74</v>
      </c>
      <c r="BN378">
        <v>32341768</v>
      </c>
      <c r="BO378" t="s">
        <v>74</v>
      </c>
      <c r="BP378" t="s">
        <v>74</v>
      </c>
      <c r="BQ378" t="s">
        <v>74</v>
      </c>
      <c r="BR378" t="s">
        <v>93</v>
      </c>
      <c r="BS378" t="s">
        <v>1324</v>
      </c>
      <c r="BT378" t="str">
        <f>HYPERLINK("https%3A%2F%2Fwww.webofscience.com%2Fwos%2Fwoscc%2Ffull-record%2FWOS:000521276200001","View Full Record in Web of Science")</f>
        <v>View Full Record in Web of Science</v>
      </c>
    </row>
    <row r="379" spans="1:72" x14ac:dyDescent="0.15">
      <c r="A379" t="s">
        <v>72</v>
      </c>
      <c r="B379" t="s">
        <v>2542</v>
      </c>
      <c r="C379" t="s">
        <v>74</v>
      </c>
      <c r="D379" t="s">
        <v>74</v>
      </c>
      <c r="E379" t="s">
        <v>74</v>
      </c>
      <c r="F379" t="s">
        <v>2543</v>
      </c>
      <c r="G379" t="s">
        <v>74</v>
      </c>
      <c r="H379" t="s">
        <v>74</v>
      </c>
      <c r="I379" t="s">
        <v>2544</v>
      </c>
      <c r="J379" t="s">
        <v>2545</v>
      </c>
      <c r="K379" t="s">
        <v>74</v>
      </c>
      <c r="L379" t="s">
        <v>74</v>
      </c>
      <c r="M379" t="s">
        <v>74</v>
      </c>
      <c r="N379" t="s">
        <v>78</v>
      </c>
      <c r="O379" t="s">
        <v>74</v>
      </c>
      <c r="P379" t="s">
        <v>74</v>
      </c>
      <c r="Q379" t="s">
        <v>74</v>
      </c>
      <c r="R379" t="s">
        <v>74</v>
      </c>
      <c r="S379" t="s">
        <v>74</v>
      </c>
      <c r="T379" t="s">
        <v>2546</v>
      </c>
      <c r="U379" t="s">
        <v>2547</v>
      </c>
      <c r="V379" t="s">
        <v>2548</v>
      </c>
      <c r="W379" t="s">
        <v>2549</v>
      </c>
      <c r="X379" t="s">
        <v>2550</v>
      </c>
      <c r="Y379" t="s">
        <v>2551</v>
      </c>
      <c r="Z379" t="s">
        <v>2552</v>
      </c>
      <c r="AA379" t="s">
        <v>2553</v>
      </c>
      <c r="AB379" t="s">
        <v>2554</v>
      </c>
      <c r="AC379" t="s">
        <v>74</v>
      </c>
      <c r="AD379" t="s">
        <v>74</v>
      </c>
      <c r="AE379" t="s">
        <v>74</v>
      </c>
      <c r="AF379" t="s">
        <v>74</v>
      </c>
      <c r="AG379">
        <v>44</v>
      </c>
      <c r="AH379">
        <v>12</v>
      </c>
      <c r="AI379">
        <v>13</v>
      </c>
      <c r="AJ379">
        <v>1</v>
      </c>
      <c r="AK379">
        <v>17</v>
      </c>
      <c r="AL379" t="s">
        <v>74</v>
      </c>
      <c r="AM379" t="s">
        <v>74</v>
      </c>
      <c r="AN379" t="s">
        <v>74</v>
      </c>
      <c r="AO379" t="s">
        <v>2555</v>
      </c>
      <c r="AP379" t="s">
        <v>2556</v>
      </c>
      <c r="AQ379" t="s">
        <v>74</v>
      </c>
      <c r="AR379" t="s">
        <v>74</v>
      </c>
      <c r="AS379" t="s">
        <v>74</v>
      </c>
      <c r="AT379" t="s">
        <v>236</v>
      </c>
      <c r="AU379">
        <v>2019</v>
      </c>
      <c r="AV379">
        <v>64</v>
      </c>
      <c r="AW379">
        <v>6</v>
      </c>
      <c r="AX379" t="s">
        <v>74</v>
      </c>
      <c r="AY379" t="s">
        <v>74</v>
      </c>
      <c r="AZ379" t="s">
        <v>74</v>
      </c>
      <c r="BA379" t="s">
        <v>74</v>
      </c>
      <c r="BB379">
        <v>1831</v>
      </c>
      <c r="BC379">
        <v>1837</v>
      </c>
      <c r="BD379" t="s">
        <v>74</v>
      </c>
      <c r="BE379" t="s">
        <v>2557</v>
      </c>
      <c r="BF379" t="str">
        <f>HYPERLINK("http://dx.doi.org/10.1111/1556-4029.14113","http://dx.doi.org/10.1111/1556-4029.14113")</f>
        <v>http://dx.doi.org/10.1111/1556-4029.14113</v>
      </c>
      <c r="BG379" t="s">
        <v>74</v>
      </c>
      <c r="BH379" t="s">
        <v>74</v>
      </c>
      <c r="BI379" t="s">
        <v>74</v>
      </c>
      <c r="BJ379" t="s">
        <v>2558</v>
      </c>
      <c r="BK379" t="s">
        <v>112</v>
      </c>
      <c r="BL379" t="s">
        <v>2559</v>
      </c>
      <c r="BM379" t="s">
        <v>74</v>
      </c>
      <c r="BN379">
        <v>31184791</v>
      </c>
      <c r="BO379" t="s">
        <v>74</v>
      </c>
      <c r="BP379" t="s">
        <v>74</v>
      </c>
      <c r="BQ379" t="s">
        <v>74</v>
      </c>
      <c r="BR379" t="s">
        <v>93</v>
      </c>
      <c r="BS379" t="s">
        <v>2560</v>
      </c>
      <c r="BT379" t="str">
        <f>HYPERLINK("https%3A%2F%2Fwww.webofscience.com%2Fwos%2Fwoscc%2Ffull-record%2FWOS:000501482700029","View Full Record in Web of Science")</f>
        <v>View Full Record in Web of Science</v>
      </c>
    </row>
    <row r="380" spans="1:72" x14ac:dyDescent="0.15">
      <c r="A380" t="s">
        <v>72</v>
      </c>
      <c r="B380" t="s">
        <v>4832</v>
      </c>
      <c r="C380" t="s">
        <v>74</v>
      </c>
      <c r="D380" t="s">
        <v>74</v>
      </c>
      <c r="E380" t="s">
        <v>74</v>
      </c>
      <c r="F380" t="s">
        <v>4833</v>
      </c>
      <c r="G380" t="s">
        <v>74</v>
      </c>
      <c r="H380" t="s">
        <v>74</v>
      </c>
      <c r="I380" t="s">
        <v>4834</v>
      </c>
      <c r="J380" t="s">
        <v>4835</v>
      </c>
      <c r="K380" t="s">
        <v>74</v>
      </c>
      <c r="L380" t="s">
        <v>74</v>
      </c>
      <c r="M380" t="s">
        <v>74</v>
      </c>
      <c r="N380" t="s">
        <v>78</v>
      </c>
      <c r="O380" t="s">
        <v>74</v>
      </c>
      <c r="P380" t="s">
        <v>74</v>
      </c>
      <c r="Q380" t="s">
        <v>74</v>
      </c>
      <c r="R380" t="s">
        <v>74</v>
      </c>
      <c r="S380" t="s">
        <v>74</v>
      </c>
      <c r="T380" t="s">
        <v>4836</v>
      </c>
      <c r="U380" t="s">
        <v>4837</v>
      </c>
      <c r="V380" t="s">
        <v>4838</v>
      </c>
      <c r="W380" t="s">
        <v>4839</v>
      </c>
      <c r="X380" t="s">
        <v>4840</v>
      </c>
      <c r="Y380" t="s">
        <v>4841</v>
      </c>
      <c r="Z380" t="s">
        <v>4842</v>
      </c>
      <c r="AA380" t="s">
        <v>4843</v>
      </c>
      <c r="AB380" t="s">
        <v>4844</v>
      </c>
      <c r="AC380" t="s">
        <v>74</v>
      </c>
      <c r="AD380" t="s">
        <v>74</v>
      </c>
      <c r="AE380" t="s">
        <v>74</v>
      </c>
      <c r="AF380" t="s">
        <v>74</v>
      </c>
      <c r="AG380">
        <v>91</v>
      </c>
      <c r="AH380">
        <v>12</v>
      </c>
      <c r="AI380">
        <v>12</v>
      </c>
      <c r="AJ380">
        <v>1</v>
      </c>
      <c r="AK380">
        <v>2</v>
      </c>
      <c r="AL380" t="s">
        <v>74</v>
      </c>
      <c r="AM380" t="s">
        <v>74</v>
      </c>
      <c r="AN380" t="s">
        <v>74</v>
      </c>
      <c r="AO380" t="s">
        <v>4845</v>
      </c>
      <c r="AP380" t="s">
        <v>4846</v>
      </c>
      <c r="AQ380" t="s">
        <v>74</v>
      </c>
      <c r="AR380" t="s">
        <v>74</v>
      </c>
      <c r="AS380" t="s">
        <v>74</v>
      </c>
      <c r="AT380" t="s">
        <v>74</v>
      </c>
      <c r="AU380">
        <v>2020</v>
      </c>
      <c r="AV380">
        <v>53</v>
      </c>
      <c r="AW380">
        <v>10</v>
      </c>
      <c r="AX380" t="s">
        <v>74</v>
      </c>
      <c r="AY380" t="s">
        <v>74</v>
      </c>
      <c r="AZ380" t="s">
        <v>74</v>
      </c>
      <c r="BA380" t="s">
        <v>74</v>
      </c>
      <c r="BB380" t="s">
        <v>74</v>
      </c>
      <c r="BC380" t="s">
        <v>74</v>
      </c>
      <c r="BD380" t="s">
        <v>4847</v>
      </c>
      <c r="BE380" t="s">
        <v>4848</v>
      </c>
      <c r="BF380" t="str">
        <f>HYPERLINK("http://dx.doi.org/10.1590/1414-431X20209881","http://dx.doi.org/10.1590/1414-431X20209881")</f>
        <v>http://dx.doi.org/10.1590/1414-431X20209881</v>
      </c>
      <c r="BG380" t="s">
        <v>74</v>
      </c>
      <c r="BH380" t="s">
        <v>74</v>
      </c>
      <c r="BI380" t="s">
        <v>74</v>
      </c>
      <c r="BJ380" t="s">
        <v>2444</v>
      </c>
      <c r="BK380" t="s">
        <v>112</v>
      </c>
      <c r="BL380" t="s">
        <v>2446</v>
      </c>
      <c r="BM380" t="s">
        <v>74</v>
      </c>
      <c r="BN380">
        <v>32813850</v>
      </c>
      <c r="BO380" t="s">
        <v>74</v>
      </c>
      <c r="BP380" t="s">
        <v>74</v>
      </c>
      <c r="BQ380" t="s">
        <v>74</v>
      </c>
      <c r="BR380" t="s">
        <v>93</v>
      </c>
      <c r="BS380" t="s">
        <v>4849</v>
      </c>
      <c r="BT380" t="str">
        <f>HYPERLINK("https%3A%2F%2Fwww.webofscience.com%2Fwos%2Fwoscc%2Ffull-record%2FWOS:000563049700001","View Full Record in Web of Science")</f>
        <v>View Full Record in Web of Science</v>
      </c>
    </row>
    <row r="381" spans="1:72" x14ac:dyDescent="0.15">
      <c r="A381" t="s">
        <v>72</v>
      </c>
      <c r="B381" t="s">
        <v>5290</v>
      </c>
      <c r="C381" t="s">
        <v>74</v>
      </c>
      <c r="D381" t="s">
        <v>74</v>
      </c>
      <c r="E381" t="s">
        <v>74</v>
      </c>
      <c r="F381" t="s">
        <v>5291</v>
      </c>
      <c r="G381" t="s">
        <v>74</v>
      </c>
      <c r="H381" t="s">
        <v>74</v>
      </c>
      <c r="I381" t="s">
        <v>5292</v>
      </c>
      <c r="J381" t="s">
        <v>5293</v>
      </c>
      <c r="K381" t="s">
        <v>74</v>
      </c>
      <c r="L381" t="s">
        <v>74</v>
      </c>
      <c r="M381" t="s">
        <v>74</v>
      </c>
      <c r="N381" t="s">
        <v>78</v>
      </c>
      <c r="O381" t="s">
        <v>74</v>
      </c>
      <c r="P381" t="s">
        <v>74</v>
      </c>
      <c r="Q381" t="s">
        <v>74</v>
      </c>
      <c r="R381" t="s">
        <v>74</v>
      </c>
      <c r="S381" t="s">
        <v>74</v>
      </c>
      <c r="T381" t="s">
        <v>74</v>
      </c>
      <c r="U381" t="s">
        <v>5294</v>
      </c>
      <c r="V381" t="s">
        <v>5295</v>
      </c>
      <c r="W381" t="s">
        <v>5296</v>
      </c>
      <c r="X381" t="s">
        <v>5297</v>
      </c>
      <c r="Y381" t="s">
        <v>5298</v>
      </c>
      <c r="Z381" t="s">
        <v>5299</v>
      </c>
      <c r="AA381" t="s">
        <v>74</v>
      </c>
      <c r="AB381" t="s">
        <v>74</v>
      </c>
      <c r="AC381" t="s">
        <v>74</v>
      </c>
      <c r="AD381" t="s">
        <v>74</v>
      </c>
      <c r="AE381" t="s">
        <v>74</v>
      </c>
      <c r="AF381" t="s">
        <v>74</v>
      </c>
      <c r="AG381">
        <v>36</v>
      </c>
      <c r="AH381">
        <v>12</v>
      </c>
      <c r="AI381">
        <v>12</v>
      </c>
      <c r="AJ381">
        <v>0</v>
      </c>
      <c r="AK381">
        <v>8</v>
      </c>
      <c r="AL381" t="s">
        <v>74</v>
      </c>
      <c r="AM381" t="s">
        <v>74</v>
      </c>
      <c r="AN381" t="s">
        <v>74</v>
      </c>
      <c r="AO381" t="s">
        <v>5300</v>
      </c>
      <c r="AP381" t="s">
        <v>5301</v>
      </c>
      <c r="AQ381" t="s">
        <v>74</v>
      </c>
      <c r="AR381" t="s">
        <v>74</v>
      </c>
      <c r="AS381" t="s">
        <v>74</v>
      </c>
      <c r="AT381" t="s">
        <v>5208</v>
      </c>
      <c r="AU381">
        <v>2021</v>
      </c>
      <c r="AV381">
        <v>27</v>
      </c>
      <c r="AW381">
        <v>11</v>
      </c>
      <c r="AX381" t="s">
        <v>74</v>
      </c>
      <c r="AY381" t="s">
        <v>74</v>
      </c>
      <c r="AZ381" t="s">
        <v>74</v>
      </c>
      <c r="BA381" t="s">
        <v>74</v>
      </c>
      <c r="BB381">
        <v>3253</v>
      </c>
      <c r="BC381">
        <v>3264</v>
      </c>
      <c r="BD381" t="s">
        <v>74</v>
      </c>
      <c r="BE381" t="s">
        <v>5302</v>
      </c>
      <c r="BF381" t="str">
        <f>HYPERLINK("http://dx.doi.org/10.1158/1078-0432.CCR-20-4790","http://dx.doi.org/10.1158/1078-0432.CCR-20-4790")</f>
        <v>http://dx.doi.org/10.1158/1078-0432.CCR-20-4790</v>
      </c>
      <c r="BG381" t="s">
        <v>74</v>
      </c>
      <c r="BH381" t="s">
        <v>74</v>
      </c>
      <c r="BI381" t="s">
        <v>74</v>
      </c>
      <c r="BJ381" t="s">
        <v>146</v>
      </c>
      <c r="BK381" t="s">
        <v>112</v>
      </c>
      <c r="BL381" t="s">
        <v>146</v>
      </c>
      <c r="BM381" t="s">
        <v>74</v>
      </c>
      <c r="BN381">
        <v>33753455</v>
      </c>
      <c r="BO381" t="s">
        <v>74</v>
      </c>
      <c r="BP381" t="s">
        <v>74</v>
      </c>
      <c r="BQ381" t="s">
        <v>74</v>
      </c>
      <c r="BR381" t="s">
        <v>93</v>
      </c>
      <c r="BS381" t="s">
        <v>5303</v>
      </c>
      <c r="BT381" t="str">
        <f>HYPERLINK("https%3A%2F%2Fwww.webofscience.com%2Fwos%2Fwoscc%2Ffull-record%2FWOS:000657419800030","View Full Record in Web of Science")</f>
        <v>View Full Record in Web of Science</v>
      </c>
    </row>
    <row r="382" spans="1:72" x14ac:dyDescent="0.15">
      <c r="A382" t="s">
        <v>72</v>
      </c>
      <c r="B382" t="s">
        <v>7440</v>
      </c>
      <c r="C382" t="s">
        <v>74</v>
      </c>
      <c r="D382" t="s">
        <v>74</v>
      </c>
      <c r="E382" t="s">
        <v>74</v>
      </c>
      <c r="F382" t="s">
        <v>7441</v>
      </c>
      <c r="G382" t="s">
        <v>74</v>
      </c>
      <c r="H382" t="s">
        <v>74</v>
      </c>
      <c r="I382" t="s">
        <v>7442</v>
      </c>
      <c r="J382" t="s">
        <v>7443</v>
      </c>
      <c r="K382" t="s">
        <v>74</v>
      </c>
      <c r="L382" t="s">
        <v>74</v>
      </c>
      <c r="M382" t="s">
        <v>74</v>
      </c>
      <c r="N382" t="s">
        <v>78</v>
      </c>
      <c r="O382" t="s">
        <v>74</v>
      </c>
      <c r="P382" t="s">
        <v>74</v>
      </c>
      <c r="Q382" t="s">
        <v>74</v>
      </c>
      <c r="R382" t="s">
        <v>74</v>
      </c>
      <c r="S382" t="s">
        <v>74</v>
      </c>
      <c r="T382" t="s">
        <v>7444</v>
      </c>
      <c r="U382" t="s">
        <v>7445</v>
      </c>
      <c r="V382" t="s">
        <v>7446</v>
      </c>
      <c r="W382" t="s">
        <v>7447</v>
      </c>
      <c r="X382" t="s">
        <v>7448</v>
      </c>
      <c r="Y382" t="s">
        <v>7449</v>
      </c>
      <c r="Z382" t="s">
        <v>7450</v>
      </c>
      <c r="AA382" t="s">
        <v>74</v>
      </c>
      <c r="AB382" t="s">
        <v>74</v>
      </c>
      <c r="AC382" t="s">
        <v>74</v>
      </c>
      <c r="AD382" t="s">
        <v>74</v>
      </c>
      <c r="AE382" t="s">
        <v>74</v>
      </c>
      <c r="AF382" t="s">
        <v>74</v>
      </c>
      <c r="AG382">
        <v>24</v>
      </c>
      <c r="AH382">
        <v>12</v>
      </c>
      <c r="AI382">
        <v>12</v>
      </c>
      <c r="AJ382">
        <v>8</v>
      </c>
      <c r="AK382">
        <v>32</v>
      </c>
      <c r="AL382" t="s">
        <v>74</v>
      </c>
      <c r="AM382" t="s">
        <v>74</v>
      </c>
      <c r="AN382" t="s">
        <v>74</v>
      </c>
      <c r="AO382" t="s">
        <v>7451</v>
      </c>
      <c r="AP382" t="s">
        <v>74</v>
      </c>
      <c r="AQ382" t="s">
        <v>74</v>
      </c>
      <c r="AR382" t="s">
        <v>74</v>
      </c>
      <c r="AS382" t="s">
        <v>74</v>
      </c>
      <c r="AT382" t="s">
        <v>4284</v>
      </c>
      <c r="AU382">
        <v>2019</v>
      </c>
      <c r="AV382">
        <v>6</v>
      </c>
      <c r="AW382" t="s">
        <v>74</v>
      </c>
      <c r="AX382" t="s">
        <v>74</v>
      </c>
      <c r="AY382" t="s">
        <v>74</v>
      </c>
      <c r="AZ382" t="s">
        <v>74</v>
      </c>
      <c r="BA382" t="s">
        <v>74</v>
      </c>
      <c r="BB382" t="s">
        <v>74</v>
      </c>
      <c r="BC382" t="s">
        <v>74</v>
      </c>
      <c r="BD382">
        <v>664</v>
      </c>
      <c r="BE382" t="s">
        <v>7452</v>
      </c>
      <c r="BF382" t="str">
        <f>HYPERLINK("http://dx.doi.org/10.3389/fchem.2018.00664","http://dx.doi.org/10.3389/fchem.2018.00664")</f>
        <v>http://dx.doi.org/10.3389/fchem.2018.00664</v>
      </c>
      <c r="BG382" t="s">
        <v>74</v>
      </c>
      <c r="BH382" t="s">
        <v>74</v>
      </c>
      <c r="BI382" t="s">
        <v>74</v>
      </c>
      <c r="BJ382" t="s">
        <v>3810</v>
      </c>
      <c r="BK382" t="s">
        <v>112</v>
      </c>
      <c r="BL382" t="s">
        <v>1197</v>
      </c>
      <c r="BM382" t="s">
        <v>74</v>
      </c>
      <c r="BN382">
        <v>30697539</v>
      </c>
      <c r="BO382" t="s">
        <v>74</v>
      </c>
      <c r="BP382" t="s">
        <v>74</v>
      </c>
      <c r="BQ382" t="s">
        <v>74</v>
      </c>
      <c r="BR382" t="s">
        <v>93</v>
      </c>
      <c r="BS382" t="s">
        <v>7453</v>
      </c>
      <c r="BT382" t="str">
        <f>HYPERLINK("https%3A%2F%2Fwww.webofscience.com%2Fwos%2Fwoscc%2Ffull-record%2FWOS:000455702400001","View Full Record in Web of Science")</f>
        <v>View Full Record in Web of Science</v>
      </c>
    </row>
    <row r="383" spans="1:72" x14ac:dyDescent="0.15">
      <c r="A383" t="s">
        <v>72</v>
      </c>
      <c r="B383" t="s">
        <v>7891</v>
      </c>
      <c r="C383" t="s">
        <v>74</v>
      </c>
      <c r="D383" t="s">
        <v>74</v>
      </c>
      <c r="E383" t="s">
        <v>74</v>
      </c>
      <c r="F383" t="s">
        <v>7891</v>
      </c>
      <c r="G383" t="s">
        <v>74</v>
      </c>
      <c r="H383" t="s">
        <v>74</v>
      </c>
      <c r="I383" t="s">
        <v>7892</v>
      </c>
      <c r="J383" t="s">
        <v>7893</v>
      </c>
      <c r="K383" t="s">
        <v>74</v>
      </c>
      <c r="L383" t="s">
        <v>74</v>
      </c>
      <c r="M383" t="s">
        <v>74</v>
      </c>
      <c r="N383" t="s">
        <v>752</v>
      </c>
      <c r="O383" t="s">
        <v>7894</v>
      </c>
      <c r="P383" t="s">
        <v>7895</v>
      </c>
      <c r="Q383" t="s">
        <v>7896</v>
      </c>
      <c r="R383" t="s">
        <v>74</v>
      </c>
      <c r="S383" t="s">
        <v>74</v>
      </c>
      <c r="T383" t="s">
        <v>7897</v>
      </c>
      <c r="U383" t="s">
        <v>7898</v>
      </c>
      <c r="V383" t="s">
        <v>7899</v>
      </c>
      <c r="W383" t="s">
        <v>74</v>
      </c>
      <c r="X383" t="s">
        <v>74</v>
      </c>
      <c r="Y383" t="s">
        <v>7900</v>
      </c>
      <c r="Z383" t="s">
        <v>74</v>
      </c>
      <c r="AA383" t="s">
        <v>74</v>
      </c>
      <c r="AB383" t="s">
        <v>74</v>
      </c>
      <c r="AC383" t="s">
        <v>74</v>
      </c>
      <c r="AD383" t="s">
        <v>74</v>
      </c>
      <c r="AE383" t="s">
        <v>74</v>
      </c>
      <c r="AF383" t="s">
        <v>74</v>
      </c>
      <c r="AG383">
        <v>21</v>
      </c>
      <c r="AH383">
        <v>12</v>
      </c>
      <c r="AI383">
        <v>12</v>
      </c>
      <c r="AJ383">
        <v>0</v>
      </c>
      <c r="AK383">
        <v>0</v>
      </c>
      <c r="AL383" t="s">
        <v>74</v>
      </c>
      <c r="AM383" t="s">
        <v>74</v>
      </c>
      <c r="AN383" t="s">
        <v>74</v>
      </c>
      <c r="AO383" t="s">
        <v>7901</v>
      </c>
      <c r="AP383" t="s">
        <v>74</v>
      </c>
      <c r="AQ383" t="s">
        <v>74</v>
      </c>
      <c r="AR383" t="s">
        <v>74</v>
      </c>
      <c r="AS383" t="s">
        <v>74</v>
      </c>
      <c r="AT383" t="s">
        <v>743</v>
      </c>
      <c r="AU383">
        <v>1992</v>
      </c>
      <c r="AV383">
        <v>122</v>
      </c>
      <c r="AW383">
        <v>3</v>
      </c>
      <c r="AX383" t="s">
        <v>74</v>
      </c>
      <c r="AY383" t="s">
        <v>312</v>
      </c>
      <c r="AZ383" t="s">
        <v>74</v>
      </c>
      <c r="BA383" t="s">
        <v>74</v>
      </c>
      <c r="BB383">
        <v>802</v>
      </c>
      <c r="BC383">
        <v>805</v>
      </c>
      <c r="BD383" t="s">
        <v>74</v>
      </c>
      <c r="BE383" t="s">
        <v>7902</v>
      </c>
      <c r="BF383" t="str">
        <f>HYPERLINK("http://dx.doi.org/10.1093/jn/122.suppl_3.802","http://dx.doi.org/10.1093/jn/122.suppl_3.802")</f>
        <v>http://dx.doi.org/10.1093/jn/122.suppl_3.802</v>
      </c>
      <c r="BG383" t="s">
        <v>74</v>
      </c>
      <c r="BH383" t="s">
        <v>74</v>
      </c>
      <c r="BI383" t="s">
        <v>74</v>
      </c>
      <c r="BJ383" t="s">
        <v>1714</v>
      </c>
      <c r="BK383" t="s">
        <v>5682</v>
      </c>
      <c r="BL383" t="s">
        <v>1714</v>
      </c>
      <c r="BM383" t="s">
        <v>74</v>
      </c>
      <c r="BN383">
        <v>1542051</v>
      </c>
      <c r="BO383" t="s">
        <v>74</v>
      </c>
      <c r="BP383" t="s">
        <v>74</v>
      </c>
      <c r="BQ383" t="s">
        <v>74</v>
      </c>
      <c r="BR383" t="s">
        <v>93</v>
      </c>
      <c r="BS383" t="s">
        <v>7903</v>
      </c>
      <c r="BT383" t="str">
        <f>HYPERLINK("https%3A%2F%2Fwww.webofscience.com%2Fwos%2Fwoscc%2Ffull-record%2FWOS:A1992HG41100042","View Full Record in Web of Science")</f>
        <v>View Full Record in Web of Science</v>
      </c>
    </row>
    <row r="384" spans="1:72" x14ac:dyDescent="0.15">
      <c r="A384" t="s">
        <v>72</v>
      </c>
      <c r="B384" t="s">
        <v>9398</v>
      </c>
      <c r="C384" t="s">
        <v>74</v>
      </c>
      <c r="D384" t="s">
        <v>74</v>
      </c>
      <c r="E384" t="s">
        <v>74</v>
      </c>
      <c r="F384" t="s">
        <v>9399</v>
      </c>
      <c r="G384" t="s">
        <v>74</v>
      </c>
      <c r="H384" t="s">
        <v>74</v>
      </c>
      <c r="I384" t="s">
        <v>9400</v>
      </c>
      <c r="J384" t="s">
        <v>9401</v>
      </c>
      <c r="K384" t="s">
        <v>74</v>
      </c>
      <c r="L384" t="s">
        <v>74</v>
      </c>
      <c r="M384" t="s">
        <v>74</v>
      </c>
      <c r="N384" t="s">
        <v>78</v>
      </c>
      <c r="O384" t="s">
        <v>74</v>
      </c>
      <c r="P384" t="s">
        <v>74</v>
      </c>
      <c r="Q384" t="s">
        <v>74</v>
      </c>
      <c r="R384" t="s">
        <v>74</v>
      </c>
      <c r="S384" t="s">
        <v>74</v>
      </c>
      <c r="T384" t="s">
        <v>9402</v>
      </c>
      <c r="U384" t="s">
        <v>9403</v>
      </c>
      <c r="V384" t="s">
        <v>9404</v>
      </c>
      <c r="W384" t="s">
        <v>9405</v>
      </c>
      <c r="X384" t="s">
        <v>9406</v>
      </c>
      <c r="Y384" t="s">
        <v>9407</v>
      </c>
      <c r="Z384" t="s">
        <v>9408</v>
      </c>
      <c r="AA384" t="s">
        <v>74</v>
      </c>
      <c r="AB384" t="s">
        <v>74</v>
      </c>
      <c r="AC384" t="s">
        <v>74</v>
      </c>
      <c r="AD384" t="s">
        <v>74</v>
      </c>
      <c r="AE384" t="s">
        <v>74</v>
      </c>
      <c r="AF384" t="s">
        <v>74</v>
      </c>
      <c r="AG384">
        <v>37</v>
      </c>
      <c r="AH384">
        <v>12</v>
      </c>
      <c r="AI384">
        <v>13</v>
      </c>
      <c r="AJ384">
        <v>26</v>
      </c>
      <c r="AK384">
        <v>109</v>
      </c>
      <c r="AL384" t="s">
        <v>74</v>
      </c>
      <c r="AM384" t="s">
        <v>74</v>
      </c>
      <c r="AN384" t="s">
        <v>74</v>
      </c>
      <c r="AO384" t="s">
        <v>74</v>
      </c>
      <c r="AP384" t="s">
        <v>9409</v>
      </c>
      <c r="AQ384" t="s">
        <v>74</v>
      </c>
      <c r="AR384" t="s">
        <v>74</v>
      </c>
      <c r="AS384" t="s">
        <v>74</v>
      </c>
      <c r="AT384" t="s">
        <v>437</v>
      </c>
      <c r="AU384">
        <v>2020</v>
      </c>
      <c r="AV384">
        <v>3</v>
      </c>
      <c r="AW384">
        <v>10</v>
      </c>
      <c r="AX384" t="s">
        <v>74</v>
      </c>
      <c r="AY384" t="s">
        <v>74</v>
      </c>
      <c r="AZ384" t="s">
        <v>74</v>
      </c>
      <c r="BA384" t="s">
        <v>74</v>
      </c>
      <c r="BB384" t="s">
        <v>74</v>
      </c>
      <c r="BC384" t="s">
        <v>74</v>
      </c>
      <c r="BD384">
        <v>2000093</v>
      </c>
      <c r="BE384" t="s">
        <v>9410</v>
      </c>
      <c r="BF384" t="str">
        <f>HYPERLINK("http://dx.doi.org/10.1002/adtp.202000093","http://dx.doi.org/10.1002/adtp.202000093")</f>
        <v>http://dx.doi.org/10.1002/adtp.202000093</v>
      </c>
      <c r="BG384" t="s">
        <v>74</v>
      </c>
      <c r="BH384" t="s">
        <v>8083</v>
      </c>
      <c r="BI384" t="s">
        <v>74</v>
      </c>
      <c r="BJ384" t="s">
        <v>1275</v>
      </c>
      <c r="BK384" t="s">
        <v>112</v>
      </c>
      <c r="BL384" t="s">
        <v>1275</v>
      </c>
      <c r="BM384" t="s">
        <v>74</v>
      </c>
      <c r="BN384" t="s">
        <v>74</v>
      </c>
      <c r="BO384" t="s">
        <v>74</v>
      </c>
      <c r="BP384" t="s">
        <v>74</v>
      </c>
      <c r="BQ384" t="s">
        <v>74</v>
      </c>
      <c r="BR384" t="s">
        <v>93</v>
      </c>
      <c r="BS384" t="s">
        <v>9411</v>
      </c>
      <c r="BT384" t="str">
        <f>HYPERLINK("https%3A%2F%2Fwww.webofscience.com%2Fwos%2Fwoscc%2Ffull-record%2FWOS:000554618100001","View Full Record in Web of Science")</f>
        <v>View Full Record in Web of Science</v>
      </c>
    </row>
    <row r="385" spans="1:72" x14ac:dyDescent="0.15">
      <c r="A385" t="s">
        <v>72</v>
      </c>
      <c r="B385" t="s">
        <v>9980</v>
      </c>
      <c r="C385" t="s">
        <v>74</v>
      </c>
      <c r="D385" t="s">
        <v>74</v>
      </c>
      <c r="E385" t="s">
        <v>74</v>
      </c>
      <c r="F385" t="s">
        <v>9981</v>
      </c>
      <c r="G385" t="s">
        <v>74</v>
      </c>
      <c r="H385" t="s">
        <v>74</v>
      </c>
      <c r="I385" t="s">
        <v>9982</v>
      </c>
      <c r="J385" t="s">
        <v>9983</v>
      </c>
      <c r="K385" t="s">
        <v>74</v>
      </c>
      <c r="L385" t="s">
        <v>74</v>
      </c>
      <c r="M385" t="s">
        <v>74</v>
      </c>
      <c r="N385" t="s">
        <v>78</v>
      </c>
      <c r="O385" t="s">
        <v>74</v>
      </c>
      <c r="P385" t="s">
        <v>74</v>
      </c>
      <c r="Q385" t="s">
        <v>74</v>
      </c>
      <c r="R385" t="s">
        <v>74</v>
      </c>
      <c r="S385" t="s">
        <v>74</v>
      </c>
      <c r="T385" t="s">
        <v>9984</v>
      </c>
      <c r="U385" t="s">
        <v>9985</v>
      </c>
      <c r="V385" t="s">
        <v>9986</v>
      </c>
      <c r="W385" t="s">
        <v>9987</v>
      </c>
      <c r="X385" t="s">
        <v>9988</v>
      </c>
      <c r="Y385" t="s">
        <v>9989</v>
      </c>
      <c r="Z385" t="s">
        <v>9990</v>
      </c>
      <c r="AA385" t="s">
        <v>74</v>
      </c>
      <c r="AB385" t="s">
        <v>9991</v>
      </c>
      <c r="AC385" t="s">
        <v>74</v>
      </c>
      <c r="AD385" t="s">
        <v>74</v>
      </c>
      <c r="AE385" t="s">
        <v>74</v>
      </c>
      <c r="AF385" t="s">
        <v>74</v>
      </c>
      <c r="AG385">
        <v>27</v>
      </c>
      <c r="AH385">
        <v>12</v>
      </c>
      <c r="AI385">
        <v>14</v>
      </c>
      <c r="AJ385">
        <v>1</v>
      </c>
      <c r="AK385">
        <v>30</v>
      </c>
      <c r="AL385" t="s">
        <v>74</v>
      </c>
      <c r="AM385" t="s">
        <v>74</v>
      </c>
      <c r="AN385" t="s">
        <v>74</v>
      </c>
      <c r="AO385" t="s">
        <v>9992</v>
      </c>
      <c r="AP385" t="s">
        <v>9993</v>
      </c>
      <c r="AQ385" t="s">
        <v>74</v>
      </c>
      <c r="AR385" t="s">
        <v>74</v>
      </c>
      <c r="AS385" t="s">
        <v>74</v>
      </c>
      <c r="AT385" t="s">
        <v>236</v>
      </c>
      <c r="AU385">
        <v>2014</v>
      </c>
      <c r="AV385">
        <v>70</v>
      </c>
      <c r="AW385">
        <v>2</v>
      </c>
      <c r="AX385" t="s">
        <v>74</v>
      </c>
      <c r="AY385" t="s">
        <v>74</v>
      </c>
      <c r="AZ385" t="s">
        <v>74</v>
      </c>
      <c r="BA385" t="s">
        <v>74</v>
      </c>
      <c r="BB385">
        <v>1011</v>
      </c>
      <c r="BC385">
        <v>1016</v>
      </c>
      <c r="BD385" t="s">
        <v>74</v>
      </c>
      <c r="BE385" t="s">
        <v>9994</v>
      </c>
      <c r="BF385" t="str">
        <f>HYPERLINK("http://dx.doi.org/10.1007/s12013-014-0011-8","http://dx.doi.org/10.1007/s12013-014-0011-8")</f>
        <v>http://dx.doi.org/10.1007/s12013-014-0011-8</v>
      </c>
      <c r="BG385" t="s">
        <v>74</v>
      </c>
      <c r="BH385" t="s">
        <v>74</v>
      </c>
      <c r="BI385" t="s">
        <v>74</v>
      </c>
      <c r="BJ385" t="s">
        <v>1407</v>
      </c>
      <c r="BK385" t="s">
        <v>112</v>
      </c>
      <c r="BL385" t="s">
        <v>1407</v>
      </c>
      <c r="BM385" t="s">
        <v>74</v>
      </c>
      <c r="BN385">
        <v>24825433</v>
      </c>
      <c r="BO385" t="s">
        <v>74</v>
      </c>
      <c r="BP385" t="s">
        <v>74</v>
      </c>
      <c r="BQ385" t="s">
        <v>74</v>
      </c>
      <c r="BR385" t="s">
        <v>93</v>
      </c>
      <c r="BS385" t="s">
        <v>9995</v>
      </c>
      <c r="BT385" t="str">
        <f>HYPERLINK("https%3A%2F%2Fwww.webofscience.com%2Fwos%2Fwoscc%2Ffull-record%2FWOS:000343143500035","View Full Record in Web of Science")</f>
        <v>View Full Record in Web of Science</v>
      </c>
    </row>
    <row r="386" spans="1:72" x14ac:dyDescent="0.15">
      <c r="A386" t="s">
        <v>72</v>
      </c>
      <c r="B386" t="s">
        <v>10319</v>
      </c>
      <c r="C386" t="s">
        <v>74</v>
      </c>
      <c r="D386" t="s">
        <v>74</v>
      </c>
      <c r="E386" t="s">
        <v>74</v>
      </c>
      <c r="F386" t="s">
        <v>10319</v>
      </c>
      <c r="G386" t="s">
        <v>74</v>
      </c>
      <c r="H386" t="s">
        <v>74</v>
      </c>
      <c r="I386" t="s">
        <v>10320</v>
      </c>
      <c r="J386" t="s">
        <v>10201</v>
      </c>
      <c r="K386" t="s">
        <v>74</v>
      </c>
      <c r="L386" t="s">
        <v>74</v>
      </c>
      <c r="M386" t="s">
        <v>74</v>
      </c>
      <c r="N386" t="s">
        <v>78</v>
      </c>
      <c r="O386" t="s">
        <v>74</v>
      </c>
      <c r="P386" t="s">
        <v>74</v>
      </c>
      <c r="Q386" t="s">
        <v>74</v>
      </c>
      <c r="R386" t="s">
        <v>74</v>
      </c>
      <c r="S386" t="s">
        <v>74</v>
      </c>
      <c r="T386" t="s">
        <v>74</v>
      </c>
      <c r="U386" t="s">
        <v>10321</v>
      </c>
      <c r="V386" t="s">
        <v>10322</v>
      </c>
      <c r="W386" t="s">
        <v>10323</v>
      </c>
      <c r="X386" t="s">
        <v>10324</v>
      </c>
      <c r="Y386" t="s">
        <v>74</v>
      </c>
      <c r="Z386" t="s">
        <v>74</v>
      </c>
      <c r="AA386" t="s">
        <v>10325</v>
      </c>
      <c r="AB386" t="s">
        <v>10326</v>
      </c>
      <c r="AC386" t="s">
        <v>74</v>
      </c>
      <c r="AD386" t="s">
        <v>74</v>
      </c>
      <c r="AE386" t="s">
        <v>74</v>
      </c>
      <c r="AF386" t="s">
        <v>74</v>
      </c>
      <c r="AG386">
        <v>30</v>
      </c>
      <c r="AH386">
        <v>12</v>
      </c>
      <c r="AI386">
        <v>12</v>
      </c>
      <c r="AJ386">
        <v>0</v>
      </c>
      <c r="AK386">
        <v>0</v>
      </c>
      <c r="AL386" t="s">
        <v>74</v>
      </c>
      <c r="AM386" t="s">
        <v>74</v>
      </c>
      <c r="AN386" t="s">
        <v>74</v>
      </c>
      <c r="AO386" t="s">
        <v>10208</v>
      </c>
      <c r="AP386" t="s">
        <v>74</v>
      </c>
      <c r="AQ386" t="s">
        <v>74</v>
      </c>
      <c r="AR386" t="s">
        <v>74</v>
      </c>
      <c r="AS386" t="s">
        <v>74</v>
      </c>
      <c r="AT386" t="s">
        <v>503</v>
      </c>
      <c r="AU386">
        <v>1997</v>
      </c>
      <c r="AV386">
        <v>73</v>
      </c>
      <c r="AW386">
        <v>1</v>
      </c>
      <c r="AX386" t="s">
        <v>74</v>
      </c>
      <c r="AY386" t="s">
        <v>74</v>
      </c>
      <c r="AZ386" t="s">
        <v>74</v>
      </c>
      <c r="BA386" t="s">
        <v>74</v>
      </c>
      <c r="BB386">
        <v>45</v>
      </c>
      <c r="BC386">
        <v>51</v>
      </c>
      <c r="BD386" t="s">
        <v>74</v>
      </c>
      <c r="BE386" t="s">
        <v>10327</v>
      </c>
      <c r="BF386" t="str">
        <f>HYPERLINK("http://dx.doi.org/10.1016/S0006-3495(97)78046-9","http://dx.doi.org/10.1016/S0006-3495(97)78046-9")</f>
        <v>http://dx.doi.org/10.1016/S0006-3495(97)78046-9</v>
      </c>
      <c r="BG386" t="s">
        <v>74</v>
      </c>
      <c r="BH386" t="s">
        <v>74</v>
      </c>
      <c r="BI386" t="s">
        <v>74</v>
      </c>
      <c r="BJ386" t="s">
        <v>10211</v>
      </c>
      <c r="BK386" t="s">
        <v>112</v>
      </c>
      <c r="BL386" t="s">
        <v>10211</v>
      </c>
      <c r="BM386" t="s">
        <v>74</v>
      </c>
      <c r="BN386">
        <v>9199770</v>
      </c>
      <c r="BO386" t="s">
        <v>74</v>
      </c>
      <c r="BP386" t="s">
        <v>74</v>
      </c>
      <c r="BQ386" t="s">
        <v>74</v>
      </c>
      <c r="BR386" t="s">
        <v>93</v>
      </c>
      <c r="BS386" t="s">
        <v>10328</v>
      </c>
      <c r="BT386" t="str">
        <f>HYPERLINK("https%3A%2F%2Fwww.webofscience.com%2Fwos%2Fwoscc%2Ffull-record%2FWOS:A1997XF77600005","View Full Record in Web of Science")</f>
        <v>View Full Record in Web of Science</v>
      </c>
    </row>
    <row r="387" spans="1:72" x14ac:dyDescent="0.15">
      <c r="A387" t="s">
        <v>72</v>
      </c>
      <c r="B387" t="s">
        <v>10519</v>
      </c>
      <c r="C387" t="s">
        <v>74</v>
      </c>
      <c r="D387" t="s">
        <v>74</v>
      </c>
      <c r="E387" t="s">
        <v>74</v>
      </c>
      <c r="F387" t="s">
        <v>10520</v>
      </c>
      <c r="G387" t="s">
        <v>74</v>
      </c>
      <c r="H387" t="s">
        <v>74</v>
      </c>
      <c r="I387" t="s">
        <v>10521</v>
      </c>
      <c r="J387" t="s">
        <v>10522</v>
      </c>
      <c r="K387" t="s">
        <v>74</v>
      </c>
      <c r="L387" t="s">
        <v>74</v>
      </c>
      <c r="M387" t="s">
        <v>74</v>
      </c>
      <c r="N387" t="s">
        <v>78</v>
      </c>
      <c r="O387" t="s">
        <v>74</v>
      </c>
      <c r="P387" t="s">
        <v>74</v>
      </c>
      <c r="Q387" t="s">
        <v>74</v>
      </c>
      <c r="R387" t="s">
        <v>74</v>
      </c>
      <c r="S387" t="s">
        <v>74</v>
      </c>
      <c r="T387" t="s">
        <v>10523</v>
      </c>
      <c r="U387" t="s">
        <v>10524</v>
      </c>
      <c r="V387" t="s">
        <v>10525</v>
      </c>
      <c r="W387" t="s">
        <v>10526</v>
      </c>
      <c r="X387" t="s">
        <v>10527</v>
      </c>
      <c r="Y387" t="s">
        <v>10528</v>
      </c>
      <c r="Z387" t="s">
        <v>10529</v>
      </c>
      <c r="AA387" t="s">
        <v>10530</v>
      </c>
      <c r="AB387" t="s">
        <v>10531</v>
      </c>
      <c r="AC387" t="s">
        <v>74</v>
      </c>
      <c r="AD387" t="s">
        <v>74</v>
      </c>
      <c r="AE387" t="s">
        <v>74</v>
      </c>
      <c r="AF387" t="s">
        <v>74</v>
      </c>
      <c r="AG387">
        <v>65</v>
      </c>
      <c r="AH387">
        <v>12</v>
      </c>
      <c r="AI387">
        <v>13</v>
      </c>
      <c r="AJ387">
        <v>2</v>
      </c>
      <c r="AK387">
        <v>13</v>
      </c>
      <c r="AL387" t="s">
        <v>74</v>
      </c>
      <c r="AM387" t="s">
        <v>74</v>
      </c>
      <c r="AN387" t="s">
        <v>74</v>
      </c>
      <c r="AO387" t="s">
        <v>74</v>
      </c>
      <c r="AP387" t="s">
        <v>10532</v>
      </c>
      <c r="AQ387" t="s">
        <v>74</v>
      </c>
      <c r="AR387" t="s">
        <v>74</v>
      </c>
      <c r="AS387" t="s">
        <v>74</v>
      </c>
      <c r="AT387" t="s">
        <v>10533</v>
      </c>
      <c r="AU387">
        <v>2020</v>
      </c>
      <c r="AV387">
        <v>18</v>
      </c>
      <c r="AW387">
        <v>1</v>
      </c>
      <c r="AX387" t="s">
        <v>74</v>
      </c>
      <c r="AY387" t="s">
        <v>74</v>
      </c>
      <c r="AZ387" t="s">
        <v>74</v>
      </c>
      <c r="BA387" t="s">
        <v>74</v>
      </c>
      <c r="BB387" t="s">
        <v>74</v>
      </c>
      <c r="BC387" t="s">
        <v>74</v>
      </c>
      <c r="BD387">
        <v>105</v>
      </c>
      <c r="BE387" t="s">
        <v>10534</v>
      </c>
      <c r="BF387" t="str">
        <f>HYPERLINK("http://dx.doi.org/10.1186/s12964-020-00605-x","http://dx.doi.org/10.1186/s12964-020-00605-x")</f>
        <v>http://dx.doi.org/10.1186/s12964-020-00605-x</v>
      </c>
      <c r="BG387" t="s">
        <v>74</v>
      </c>
      <c r="BH387" t="s">
        <v>74</v>
      </c>
      <c r="BI387" t="s">
        <v>74</v>
      </c>
      <c r="BJ387" t="s">
        <v>419</v>
      </c>
      <c r="BK387" t="s">
        <v>112</v>
      </c>
      <c r="BL387" t="s">
        <v>419</v>
      </c>
      <c r="BM387" t="s">
        <v>74</v>
      </c>
      <c r="BN387">
        <v>32641054</v>
      </c>
      <c r="BO387" t="s">
        <v>74</v>
      </c>
      <c r="BP387" t="s">
        <v>74</v>
      </c>
      <c r="BQ387" t="s">
        <v>74</v>
      </c>
      <c r="BR387" t="s">
        <v>93</v>
      </c>
      <c r="BS387" t="s">
        <v>10535</v>
      </c>
      <c r="BT387" t="str">
        <f>HYPERLINK("https%3A%2F%2Fwww.webofscience.com%2Fwos%2Fwoscc%2Ffull-record%2FWOS:000552058600002","View Full Record in Web of Science")</f>
        <v>View Full Record in Web of Science</v>
      </c>
    </row>
    <row r="388" spans="1:72" x14ac:dyDescent="0.15">
      <c r="A388" t="s">
        <v>72</v>
      </c>
      <c r="B388" t="s">
        <v>10932</v>
      </c>
      <c r="C388" t="s">
        <v>74</v>
      </c>
      <c r="D388" t="s">
        <v>74</v>
      </c>
      <c r="E388" t="s">
        <v>74</v>
      </c>
      <c r="F388" t="s">
        <v>10933</v>
      </c>
      <c r="G388" t="s">
        <v>74</v>
      </c>
      <c r="H388" t="s">
        <v>74</v>
      </c>
      <c r="I388" t="s">
        <v>10934</v>
      </c>
      <c r="J388" t="s">
        <v>10935</v>
      </c>
      <c r="K388" t="s">
        <v>74</v>
      </c>
      <c r="L388" t="s">
        <v>74</v>
      </c>
      <c r="M388" t="s">
        <v>74</v>
      </c>
      <c r="N388" t="s">
        <v>78</v>
      </c>
      <c r="O388" t="s">
        <v>74</v>
      </c>
      <c r="P388" t="s">
        <v>74</v>
      </c>
      <c r="Q388" t="s">
        <v>74</v>
      </c>
      <c r="R388" t="s">
        <v>74</v>
      </c>
      <c r="S388" t="s">
        <v>74</v>
      </c>
      <c r="T388" t="s">
        <v>74</v>
      </c>
      <c r="U388" t="s">
        <v>10936</v>
      </c>
      <c r="V388" t="s">
        <v>10937</v>
      </c>
      <c r="W388" t="s">
        <v>10938</v>
      </c>
      <c r="X388" t="s">
        <v>10939</v>
      </c>
      <c r="Y388" t="s">
        <v>10940</v>
      </c>
      <c r="Z388" t="s">
        <v>10941</v>
      </c>
      <c r="AA388" t="s">
        <v>10942</v>
      </c>
      <c r="AB388" t="s">
        <v>10943</v>
      </c>
      <c r="AC388" t="s">
        <v>74</v>
      </c>
      <c r="AD388" t="s">
        <v>74</v>
      </c>
      <c r="AE388" t="s">
        <v>74</v>
      </c>
      <c r="AF388" t="s">
        <v>74</v>
      </c>
      <c r="AG388">
        <v>26</v>
      </c>
      <c r="AH388">
        <v>12</v>
      </c>
      <c r="AI388">
        <v>12</v>
      </c>
      <c r="AJ388">
        <v>0</v>
      </c>
      <c r="AK388">
        <v>3</v>
      </c>
      <c r="AL388" t="s">
        <v>74</v>
      </c>
      <c r="AM388" t="s">
        <v>74</v>
      </c>
      <c r="AN388" t="s">
        <v>74</v>
      </c>
      <c r="AO388" t="s">
        <v>10944</v>
      </c>
      <c r="AP388" t="s">
        <v>10945</v>
      </c>
      <c r="AQ388" t="s">
        <v>74</v>
      </c>
      <c r="AR388" t="s">
        <v>74</v>
      </c>
      <c r="AS388" t="s">
        <v>74</v>
      </c>
      <c r="AT388" t="s">
        <v>74</v>
      </c>
      <c r="AU388">
        <v>2016</v>
      </c>
      <c r="AV388">
        <v>2016</v>
      </c>
      <c r="AW388" t="s">
        <v>74</v>
      </c>
      <c r="AX388" t="s">
        <v>74</v>
      </c>
      <c r="AY388" t="s">
        <v>74</v>
      </c>
      <c r="AZ388" t="s">
        <v>74</v>
      </c>
      <c r="BA388" t="s">
        <v>74</v>
      </c>
      <c r="BB388" t="s">
        <v>74</v>
      </c>
      <c r="BC388" t="s">
        <v>74</v>
      </c>
      <c r="BD388">
        <v>5312674</v>
      </c>
      <c r="BE388" t="s">
        <v>10946</v>
      </c>
      <c r="BF388" t="str">
        <f>HYPERLINK("http://dx.doi.org/10.1155/2016/5312674","http://dx.doi.org/10.1155/2016/5312674")</f>
        <v>http://dx.doi.org/10.1155/2016/5312674</v>
      </c>
      <c r="BG388" t="s">
        <v>74</v>
      </c>
      <c r="BH388" t="s">
        <v>74</v>
      </c>
      <c r="BI388" t="s">
        <v>74</v>
      </c>
      <c r="BJ388" t="s">
        <v>10947</v>
      </c>
      <c r="BK388" t="s">
        <v>112</v>
      </c>
      <c r="BL388" t="s">
        <v>10948</v>
      </c>
      <c r="BM388" t="s">
        <v>74</v>
      </c>
      <c r="BN388">
        <v>27110565</v>
      </c>
      <c r="BO388" t="s">
        <v>74</v>
      </c>
      <c r="BP388" t="s">
        <v>74</v>
      </c>
      <c r="BQ388" t="s">
        <v>74</v>
      </c>
      <c r="BR388" t="s">
        <v>93</v>
      </c>
      <c r="BS388" t="s">
        <v>10949</v>
      </c>
      <c r="BT388" t="str">
        <f>HYPERLINK("https%3A%2F%2Fwww.webofscience.com%2Fwos%2Fwoscc%2Ffull-record%2FWOS:000373461800001","View Full Record in Web of Science")</f>
        <v>View Full Record in Web of Science</v>
      </c>
    </row>
    <row r="389" spans="1:72" x14ac:dyDescent="0.15">
      <c r="A389" t="s">
        <v>72</v>
      </c>
      <c r="B389" t="s">
        <v>385</v>
      </c>
      <c r="C389" t="s">
        <v>74</v>
      </c>
      <c r="D389" t="s">
        <v>74</v>
      </c>
      <c r="E389" t="s">
        <v>74</v>
      </c>
      <c r="F389" t="s">
        <v>386</v>
      </c>
      <c r="G389" t="s">
        <v>74</v>
      </c>
      <c r="H389" t="s">
        <v>74</v>
      </c>
      <c r="I389" t="s">
        <v>387</v>
      </c>
      <c r="J389" t="s">
        <v>388</v>
      </c>
      <c r="K389" t="s">
        <v>74</v>
      </c>
      <c r="L389" t="s">
        <v>74</v>
      </c>
      <c r="M389" t="s">
        <v>74</v>
      </c>
      <c r="N389" t="s">
        <v>78</v>
      </c>
      <c r="O389" t="s">
        <v>74</v>
      </c>
      <c r="P389" t="s">
        <v>74</v>
      </c>
      <c r="Q389" t="s">
        <v>74</v>
      </c>
      <c r="R389" t="s">
        <v>74</v>
      </c>
      <c r="S389" t="s">
        <v>74</v>
      </c>
      <c r="T389" t="s">
        <v>389</v>
      </c>
      <c r="U389" t="s">
        <v>390</v>
      </c>
      <c r="V389" t="s">
        <v>391</v>
      </c>
      <c r="W389" t="s">
        <v>392</v>
      </c>
      <c r="X389" t="s">
        <v>393</v>
      </c>
      <c r="Y389" t="s">
        <v>394</v>
      </c>
      <c r="Z389" t="s">
        <v>395</v>
      </c>
      <c r="AA389" t="s">
        <v>396</v>
      </c>
      <c r="AB389" t="s">
        <v>397</v>
      </c>
      <c r="AC389" t="s">
        <v>74</v>
      </c>
      <c r="AD389" t="s">
        <v>74</v>
      </c>
      <c r="AE389" t="s">
        <v>74</v>
      </c>
      <c r="AF389" t="s">
        <v>74</v>
      </c>
      <c r="AG389">
        <v>45</v>
      </c>
      <c r="AH389">
        <v>11</v>
      </c>
      <c r="AI389">
        <v>11</v>
      </c>
      <c r="AJ389">
        <v>1</v>
      </c>
      <c r="AK389">
        <v>5</v>
      </c>
      <c r="AL389" t="s">
        <v>74</v>
      </c>
      <c r="AM389" t="s">
        <v>74</v>
      </c>
      <c r="AN389" t="s">
        <v>74</v>
      </c>
      <c r="AO389" t="s">
        <v>398</v>
      </c>
      <c r="AP389" t="s">
        <v>74</v>
      </c>
      <c r="AQ389" t="s">
        <v>74</v>
      </c>
      <c r="AR389" t="s">
        <v>74</v>
      </c>
      <c r="AS389" t="s">
        <v>74</v>
      </c>
      <c r="AT389" t="s">
        <v>399</v>
      </c>
      <c r="AU389">
        <v>2018</v>
      </c>
      <c r="AV389">
        <v>15</v>
      </c>
      <c r="AW389" t="s">
        <v>74</v>
      </c>
      <c r="AX389" t="s">
        <v>74</v>
      </c>
      <c r="AY389" t="s">
        <v>74</v>
      </c>
      <c r="AZ389" t="s">
        <v>74</v>
      </c>
      <c r="BA389" t="s">
        <v>74</v>
      </c>
      <c r="BB389" t="s">
        <v>74</v>
      </c>
      <c r="BC389" t="s">
        <v>74</v>
      </c>
      <c r="BD389">
        <v>145</v>
      </c>
      <c r="BE389" t="s">
        <v>400</v>
      </c>
      <c r="BF389" t="str">
        <f>HYPERLINK("http://dx.doi.org/10.1186/s12985-018-1055-y","http://dx.doi.org/10.1186/s12985-018-1055-y")</f>
        <v>http://dx.doi.org/10.1186/s12985-018-1055-y</v>
      </c>
      <c r="BG389" t="s">
        <v>74</v>
      </c>
      <c r="BH389" t="s">
        <v>74</v>
      </c>
      <c r="BI389" t="s">
        <v>74</v>
      </c>
      <c r="BJ389" t="s">
        <v>401</v>
      </c>
      <c r="BK389" t="s">
        <v>112</v>
      </c>
      <c r="BL389" t="s">
        <v>401</v>
      </c>
      <c r="BM389" t="s">
        <v>74</v>
      </c>
      <c r="BN389">
        <v>30236130</v>
      </c>
      <c r="BO389" t="s">
        <v>74</v>
      </c>
      <c r="BP389" t="s">
        <v>74</v>
      </c>
      <c r="BQ389" t="s">
        <v>74</v>
      </c>
      <c r="BR389" t="s">
        <v>93</v>
      </c>
      <c r="BS389" t="s">
        <v>402</v>
      </c>
      <c r="BT389" t="str">
        <f>HYPERLINK("https%3A%2F%2Fwww.webofscience.com%2Fwos%2Fwoscc%2Ffull-record%2FWOS:000445244400001","View Full Record in Web of Science")</f>
        <v>View Full Record in Web of Science</v>
      </c>
    </row>
    <row r="390" spans="1:72" x14ac:dyDescent="0.15">
      <c r="A390" t="s">
        <v>72</v>
      </c>
      <c r="B390" t="s">
        <v>889</v>
      </c>
      <c r="C390" t="s">
        <v>74</v>
      </c>
      <c r="D390" t="s">
        <v>74</v>
      </c>
      <c r="E390" t="s">
        <v>74</v>
      </c>
      <c r="F390" t="s">
        <v>890</v>
      </c>
      <c r="G390" t="s">
        <v>74</v>
      </c>
      <c r="H390" t="s">
        <v>74</v>
      </c>
      <c r="I390" t="s">
        <v>891</v>
      </c>
      <c r="J390" t="s">
        <v>892</v>
      </c>
      <c r="K390" t="s">
        <v>74</v>
      </c>
      <c r="L390" t="s">
        <v>74</v>
      </c>
      <c r="M390" t="s">
        <v>74</v>
      </c>
      <c r="N390" t="s">
        <v>78</v>
      </c>
      <c r="O390" t="s">
        <v>74</v>
      </c>
      <c r="P390" t="s">
        <v>74</v>
      </c>
      <c r="Q390" t="s">
        <v>74</v>
      </c>
      <c r="R390" t="s">
        <v>74</v>
      </c>
      <c r="S390" t="s">
        <v>74</v>
      </c>
      <c r="T390" t="s">
        <v>893</v>
      </c>
      <c r="U390" t="s">
        <v>894</v>
      </c>
      <c r="V390" t="s">
        <v>895</v>
      </c>
      <c r="W390" t="s">
        <v>896</v>
      </c>
      <c r="X390" t="s">
        <v>897</v>
      </c>
      <c r="Y390" t="s">
        <v>898</v>
      </c>
      <c r="Z390" t="s">
        <v>899</v>
      </c>
      <c r="AA390" t="s">
        <v>74</v>
      </c>
      <c r="AB390" t="s">
        <v>900</v>
      </c>
      <c r="AC390" t="s">
        <v>74</v>
      </c>
      <c r="AD390" t="s">
        <v>74</v>
      </c>
      <c r="AE390" t="s">
        <v>74</v>
      </c>
      <c r="AF390" t="s">
        <v>74</v>
      </c>
      <c r="AG390">
        <v>38</v>
      </c>
      <c r="AH390">
        <v>11</v>
      </c>
      <c r="AI390">
        <v>13</v>
      </c>
      <c r="AJ390">
        <v>1</v>
      </c>
      <c r="AK390">
        <v>8</v>
      </c>
      <c r="AL390" t="s">
        <v>74</v>
      </c>
      <c r="AM390" t="s">
        <v>74</v>
      </c>
      <c r="AN390" t="s">
        <v>74</v>
      </c>
      <c r="AO390" t="s">
        <v>901</v>
      </c>
      <c r="AP390" t="s">
        <v>902</v>
      </c>
      <c r="AQ390" t="s">
        <v>74</v>
      </c>
      <c r="AR390" t="s">
        <v>74</v>
      </c>
      <c r="AS390" t="s">
        <v>74</v>
      </c>
      <c r="AT390" t="s">
        <v>74</v>
      </c>
      <c r="AU390">
        <v>2019</v>
      </c>
      <c r="AV390">
        <v>178</v>
      </c>
      <c r="AW390">
        <v>2</v>
      </c>
      <c r="AX390" t="s">
        <v>74</v>
      </c>
      <c r="AY390" t="s">
        <v>74</v>
      </c>
      <c r="AZ390" t="s">
        <v>74</v>
      </c>
      <c r="BA390" t="s">
        <v>74</v>
      </c>
      <c r="BB390">
        <v>150</v>
      </c>
      <c r="BC390">
        <v>158</v>
      </c>
      <c r="BD390" t="s">
        <v>74</v>
      </c>
      <c r="BE390" t="s">
        <v>903</v>
      </c>
      <c r="BF390" t="str">
        <f>HYPERLINK("http://dx.doi.org/10.1159/000492677","http://dx.doi.org/10.1159/000492677")</f>
        <v>http://dx.doi.org/10.1159/000492677</v>
      </c>
      <c r="BG390" t="s">
        <v>74</v>
      </c>
      <c r="BH390" t="s">
        <v>74</v>
      </c>
      <c r="BI390" t="s">
        <v>74</v>
      </c>
      <c r="BJ390" t="s">
        <v>904</v>
      </c>
      <c r="BK390" t="s">
        <v>112</v>
      </c>
      <c r="BL390" t="s">
        <v>904</v>
      </c>
      <c r="BM390" t="s">
        <v>74</v>
      </c>
      <c r="BN390">
        <v>30415264</v>
      </c>
      <c r="BO390" t="s">
        <v>74</v>
      </c>
      <c r="BP390" t="s">
        <v>74</v>
      </c>
      <c r="BQ390" t="s">
        <v>74</v>
      </c>
      <c r="BR390" t="s">
        <v>93</v>
      </c>
      <c r="BS390" t="s">
        <v>905</v>
      </c>
      <c r="BT390" t="str">
        <f>HYPERLINK("https%3A%2F%2Fwww.webofscience.com%2Fwos%2Fwoscc%2Ffull-record%2FWOS:000459512200006","View Full Record in Web of Science")</f>
        <v>View Full Record in Web of Science</v>
      </c>
    </row>
    <row r="391" spans="1:72" x14ac:dyDescent="0.15">
      <c r="A391" t="s">
        <v>72</v>
      </c>
      <c r="B391" t="s">
        <v>1039</v>
      </c>
      <c r="C391" t="s">
        <v>74</v>
      </c>
      <c r="D391" t="s">
        <v>74</v>
      </c>
      <c r="E391" t="s">
        <v>74</v>
      </c>
      <c r="F391" t="s">
        <v>1040</v>
      </c>
      <c r="G391" t="s">
        <v>74</v>
      </c>
      <c r="H391" t="s">
        <v>74</v>
      </c>
      <c r="I391" t="s">
        <v>1041</v>
      </c>
      <c r="J391" t="s">
        <v>1042</v>
      </c>
      <c r="K391" t="s">
        <v>74</v>
      </c>
      <c r="L391" t="s">
        <v>74</v>
      </c>
      <c r="M391" t="s">
        <v>74</v>
      </c>
      <c r="N391" t="s">
        <v>78</v>
      </c>
      <c r="O391" t="s">
        <v>74</v>
      </c>
      <c r="P391" t="s">
        <v>74</v>
      </c>
      <c r="Q391" t="s">
        <v>74</v>
      </c>
      <c r="R391" t="s">
        <v>74</v>
      </c>
      <c r="S391" t="s">
        <v>74</v>
      </c>
      <c r="T391" t="s">
        <v>1043</v>
      </c>
      <c r="U391" t="s">
        <v>1044</v>
      </c>
      <c r="V391" t="s">
        <v>1045</v>
      </c>
      <c r="W391" t="s">
        <v>1046</v>
      </c>
      <c r="X391" t="s">
        <v>1047</v>
      </c>
      <c r="Y391" t="s">
        <v>1048</v>
      </c>
      <c r="Z391" t="s">
        <v>1049</v>
      </c>
      <c r="AA391" t="s">
        <v>1050</v>
      </c>
      <c r="AB391" t="s">
        <v>1051</v>
      </c>
      <c r="AC391" t="s">
        <v>74</v>
      </c>
      <c r="AD391" t="s">
        <v>74</v>
      </c>
      <c r="AE391" t="s">
        <v>74</v>
      </c>
      <c r="AF391" t="s">
        <v>74</v>
      </c>
      <c r="AG391">
        <v>45</v>
      </c>
      <c r="AH391">
        <v>11</v>
      </c>
      <c r="AI391">
        <v>11</v>
      </c>
      <c r="AJ391">
        <v>74</v>
      </c>
      <c r="AK391">
        <v>132</v>
      </c>
      <c r="AL391" t="s">
        <v>74</v>
      </c>
      <c r="AM391" t="s">
        <v>74</v>
      </c>
      <c r="AN391" t="s">
        <v>74</v>
      </c>
      <c r="AO391" t="s">
        <v>1052</v>
      </c>
      <c r="AP391" t="s">
        <v>1053</v>
      </c>
      <c r="AQ391" t="s">
        <v>74</v>
      </c>
      <c r="AR391" t="s">
        <v>74</v>
      </c>
      <c r="AS391" t="s">
        <v>74</v>
      </c>
      <c r="AT391" t="s">
        <v>88</v>
      </c>
      <c r="AU391">
        <v>2021</v>
      </c>
      <c r="AV391">
        <v>38</v>
      </c>
      <c r="AW391" t="s">
        <v>74</v>
      </c>
      <c r="AX391" t="s">
        <v>74</v>
      </c>
      <c r="AY391" t="s">
        <v>74</v>
      </c>
      <c r="AZ391" t="s">
        <v>74</v>
      </c>
      <c r="BA391" t="s">
        <v>74</v>
      </c>
      <c r="BB391" t="s">
        <v>74</v>
      </c>
      <c r="BC391" t="s">
        <v>74</v>
      </c>
      <c r="BD391">
        <v>101203</v>
      </c>
      <c r="BE391" t="s">
        <v>1054</v>
      </c>
      <c r="BF391" t="str">
        <f>HYPERLINK("http://dx.doi.org/10.1016/j.nantod.2021.101203","http://dx.doi.org/10.1016/j.nantod.2021.101203")</f>
        <v>http://dx.doi.org/10.1016/j.nantod.2021.101203</v>
      </c>
      <c r="BG391" t="s">
        <v>74</v>
      </c>
      <c r="BH391" t="s">
        <v>1055</v>
      </c>
      <c r="BI391" t="s">
        <v>74</v>
      </c>
      <c r="BJ391" t="s">
        <v>1056</v>
      </c>
      <c r="BK391" t="s">
        <v>112</v>
      </c>
      <c r="BL391" t="s">
        <v>700</v>
      </c>
      <c r="BM391" t="s">
        <v>74</v>
      </c>
      <c r="BN391" t="s">
        <v>74</v>
      </c>
      <c r="BO391" t="s">
        <v>74</v>
      </c>
      <c r="BP391" t="s">
        <v>74</v>
      </c>
      <c r="BQ391" t="s">
        <v>74</v>
      </c>
      <c r="BR391" t="s">
        <v>93</v>
      </c>
      <c r="BS391" t="s">
        <v>1057</v>
      </c>
      <c r="BT391" t="str">
        <f>HYPERLINK("https%3A%2F%2Fwww.webofscience.com%2Fwos%2Fwoscc%2Ffull-record%2FWOS:000670252700003","View Full Record in Web of Science")</f>
        <v>View Full Record in Web of Science</v>
      </c>
    </row>
    <row r="392" spans="1:72" x14ac:dyDescent="0.15">
      <c r="A392" t="s">
        <v>312</v>
      </c>
      <c r="B392" t="s">
        <v>1325</v>
      </c>
      <c r="C392" t="s">
        <v>74</v>
      </c>
      <c r="D392" t="s">
        <v>1326</v>
      </c>
      <c r="E392" t="s">
        <v>74</v>
      </c>
      <c r="F392" t="s">
        <v>1327</v>
      </c>
      <c r="G392" t="s">
        <v>74</v>
      </c>
      <c r="H392" t="s">
        <v>74</v>
      </c>
      <c r="I392" t="s">
        <v>1328</v>
      </c>
      <c r="J392" t="s">
        <v>1329</v>
      </c>
      <c r="K392" t="s">
        <v>318</v>
      </c>
      <c r="L392" t="s">
        <v>74</v>
      </c>
      <c r="M392" t="s">
        <v>74</v>
      </c>
      <c r="N392" t="s">
        <v>319</v>
      </c>
      <c r="O392" t="s">
        <v>74</v>
      </c>
      <c r="P392" t="s">
        <v>74</v>
      </c>
      <c r="Q392" t="s">
        <v>74</v>
      </c>
      <c r="R392" t="s">
        <v>74</v>
      </c>
      <c r="S392" t="s">
        <v>74</v>
      </c>
      <c r="T392" t="s">
        <v>1330</v>
      </c>
      <c r="U392" t="s">
        <v>1331</v>
      </c>
      <c r="V392" t="s">
        <v>1332</v>
      </c>
      <c r="W392" t="s">
        <v>1333</v>
      </c>
      <c r="X392" t="s">
        <v>1334</v>
      </c>
      <c r="Y392" t="s">
        <v>1335</v>
      </c>
      <c r="Z392" t="s">
        <v>74</v>
      </c>
      <c r="AA392" t="s">
        <v>74</v>
      </c>
      <c r="AB392" t="s">
        <v>1336</v>
      </c>
      <c r="AC392" t="s">
        <v>74</v>
      </c>
      <c r="AD392" t="s">
        <v>74</v>
      </c>
      <c r="AE392" t="s">
        <v>74</v>
      </c>
      <c r="AF392" t="s">
        <v>74</v>
      </c>
      <c r="AG392">
        <v>23</v>
      </c>
      <c r="AH392">
        <v>11</v>
      </c>
      <c r="AI392">
        <v>11</v>
      </c>
      <c r="AJ392">
        <v>0</v>
      </c>
      <c r="AK392">
        <v>10</v>
      </c>
      <c r="AL392" t="s">
        <v>74</v>
      </c>
      <c r="AM392" t="s">
        <v>74</v>
      </c>
      <c r="AN392" t="s">
        <v>74</v>
      </c>
      <c r="AO392" t="s">
        <v>328</v>
      </c>
      <c r="AP392" t="s">
        <v>329</v>
      </c>
      <c r="AQ392" t="s">
        <v>1337</v>
      </c>
      <c r="AR392" t="s">
        <v>74</v>
      </c>
      <c r="AS392" t="s">
        <v>74</v>
      </c>
      <c r="AT392" t="s">
        <v>74</v>
      </c>
      <c r="AU392">
        <v>2020</v>
      </c>
      <c r="AV392">
        <v>2067</v>
      </c>
      <c r="AW392" t="s">
        <v>74</v>
      </c>
      <c r="AX392" t="s">
        <v>74</v>
      </c>
      <c r="AY392" t="s">
        <v>74</v>
      </c>
      <c r="AZ392" t="s">
        <v>74</v>
      </c>
      <c r="BA392" t="s">
        <v>74</v>
      </c>
      <c r="BB392">
        <v>175</v>
      </c>
      <c r="BC392">
        <v>188</v>
      </c>
      <c r="BD392" t="s">
        <v>74</v>
      </c>
      <c r="BE392" t="s">
        <v>1338</v>
      </c>
      <c r="BF392" t="str">
        <f>HYPERLINK("http://dx.doi.org/10.1007/978-1-4939-9841-8_13","http://dx.doi.org/10.1007/978-1-4939-9841-8_13")</f>
        <v>http://dx.doi.org/10.1007/978-1-4939-9841-8_13</v>
      </c>
      <c r="BG392" t="s">
        <v>1339</v>
      </c>
      <c r="BH392" t="s">
        <v>74</v>
      </c>
      <c r="BI392" t="s">
        <v>74</v>
      </c>
      <c r="BJ392" t="s">
        <v>1340</v>
      </c>
      <c r="BK392" t="s">
        <v>334</v>
      </c>
      <c r="BL392" t="s">
        <v>1341</v>
      </c>
      <c r="BM392" t="s">
        <v>74</v>
      </c>
      <c r="BN392">
        <v>31701453</v>
      </c>
      <c r="BO392" t="s">
        <v>74</v>
      </c>
      <c r="BP392" t="s">
        <v>74</v>
      </c>
      <c r="BQ392" t="s">
        <v>74</v>
      </c>
      <c r="BR392" t="s">
        <v>93</v>
      </c>
      <c r="BS392" t="s">
        <v>1342</v>
      </c>
      <c r="BT392" t="str">
        <f>HYPERLINK("https%3A%2F%2Fwww.webofscience.com%2Fwos%2Fwoscc%2Ffull-record%2FWOS:000563322500014","View Full Record in Web of Science")</f>
        <v>View Full Record in Web of Science</v>
      </c>
    </row>
    <row r="393" spans="1:72" x14ac:dyDescent="0.15">
      <c r="A393" t="s">
        <v>312</v>
      </c>
      <c r="B393" t="s">
        <v>1916</v>
      </c>
      <c r="C393" t="s">
        <v>74</v>
      </c>
      <c r="D393" t="s">
        <v>747</v>
      </c>
      <c r="E393" t="s">
        <v>74</v>
      </c>
      <c r="F393" t="s">
        <v>1917</v>
      </c>
      <c r="G393" t="s">
        <v>74</v>
      </c>
      <c r="H393" t="s">
        <v>74</v>
      </c>
      <c r="I393" t="s">
        <v>1918</v>
      </c>
      <c r="J393" t="s">
        <v>750</v>
      </c>
      <c r="K393" t="s">
        <v>751</v>
      </c>
      <c r="L393" t="s">
        <v>74</v>
      </c>
      <c r="M393" t="s">
        <v>74</v>
      </c>
      <c r="N393" t="s">
        <v>752</v>
      </c>
      <c r="O393" t="s">
        <v>753</v>
      </c>
      <c r="P393" t="s">
        <v>754</v>
      </c>
      <c r="Q393" t="s">
        <v>755</v>
      </c>
      <c r="R393" t="s">
        <v>74</v>
      </c>
      <c r="S393" t="s">
        <v>74</v>
      </c>
      <c r="T393" t="s">
        <v>1919</v>
      </c>
      <c r="U393" t="s">
        <v>1920</v>
      </c>
      <c r="V393" t="s">
        <v>1921</v>
      </c>
      <c r="W393" t="s">
        <v>1922</v>
      </c>
      <c r="X393" t="s">
        <v>1923</v>
      </c>
      <c r="Y393" t="s">
        <v>1924</v>
      </c>
      <c r="Z393" t="s">
        <v>1925</v>
      </c>
      <c r="AA393" t="s">
        <v>74</v>
      </c>
      <c r="AB393" t="s">
        <v>74</v>
      </c>
      <c r="AC393" t="s">
        <v>74</v>
      </c>
      <c r="AD393" t="s">
        <v>74</v>
      </c>
      <c r="AE393" t="s">
        <v>74</v>
      </c>
      <c r="AF393" t="s">
        <v>74</v>
      </c>
      <c r="AG393">
        <v>34</v>
      </c>
      <c r="AH393">
        <v>11</v>
      </c>
      <c r="AI393">
        <v>11</v>
      </c>
      <c r="AJ393">
        <v>1</v>
      </c>
      <c r="AK393">
        <v>1</v>
      </c>
      <c r="AL393" t="s">
        <v>74</v>
      </c>
      <c r="AM393" t="s">
        <v>74</v>
      </c>
      <c r="AN393" t="s">
        <v>74</v>
      </c>
      <c r="AO393" t="s">
        <v>765</v>
      </c>
      <c r="AP393" t="s">
        <v>1926</v>
      </c>
      <c r="AQ393" t="s">
        <v>766</v>
      </c>
      <c r="AR393" t="s">
        <v>74</v>
      </c>
      <c r="AS393" t="s">
        <v>74</v>
      </c>
      <c r="AT393" t="s">
        <v>74</v>
      </c>
      <c r="AU393">
        <v>2016</v>
      </c>
      <c r="AV393">
        <v>924</v>
      </c>
      <c r="AW393" t="s">
        <v>74</v>
      </c>
      <c r="AX393" t="s">
        <v>74</v>
      </c>
      <c r="AY393" t="s">
        <v>74</v>
      </c>
      <c r="AZ393" t="s">
        <v>74</v>
      </c>
      <c r="BA393" t="s">
        <v>74</v>
      </c>
      <c r="BB393">
        <v>91</v>
      </c>
      <c r="BC393">
        <v>95</v>
      </c>
      <c r="BD393" t="s">
        <v>74</v>
      </c>
      <c r="BE393" t="s">
        <v>1927</v>
      </c>
      <c r="BF393" t="str">
        <f>HYPERLINK("http://dx.doi.org/10.1007/978-3-319-42044-8_17","http://dx.doi.org/10.1007/978-3-319-42044-8_17")</f>
        <v>http://dx.doi.org/10.1007/978-3-319-42044-8_17</v>
      </c>
      <c r="BG393" t="s">
        <v>768</v>
      </c>
      <c r="BH393" t="s">
        <v>74</v>
      </c>
      <c r="BI393" t="s">
        <v>74</v>
      </c>
      <c r="BJ393" t="s">
        <v>769</v>
      </c>
      <c r="BK393" t="s">
        <v>770</v>
      </c>
      <c r="BL393" t="s">
        <v>771</v>
      </c>
      <c r="BM393" t="s">
        <v>74</v>
      </c>
      <c r="BN393">
        <v>27753025</v>
      </c>
      <c r="BO393" t="s">
        <v>74</v>
      </c>
      <c r="BP393" t="s">
        <v>74</v>
      </c>
      <c r="BQ393" t="s">
        <v>74</v>
      </c>
      <c r="BR393" t="s">
        <v>93</v>
      </c>
      <c r="BS393" t="s">
        <v>1928</v>
      </c>
      <c r="BT393" t="str">
        <f>HYPERLINK("https%3A%2F%2Fwww.webofscience.com%2Fwos%2Fwoscc%2Ffull-record%2FWOS:000401116800018","View Full Record in Web of Science")</f>
        <v>View Full Record in Web of Science</v>
      </c>
    </row>
    <row r="394" spans="1:72" x14ac:dyDescent="0.15">
      <c r="A394" t="s">
        <v>72</v>
      </c>
      <c r="B394" t="s">
        <v>2278</v>
      </c>
      <c r="C394" t="s">
        <v>74</v>
      </c>
      <c r="D394" t="s">
        <v>74</v>
      </c>
      <c r="E394" t="s">
        <v>74</v>
      </c>
      <c r="F394" t="s">
        <v>2279</v>
      </c>
      <c r="G394" t="s">
        <v>74</v>
      </c>
      <c r="H394" t="s">
        <v>74</v>
      </c>
      <c r="I394" t="s">
        <v>2280</v>
      </c>
      <c r="J394" t="s">
        <v>2281</v>
      </c>
      <c r="K394" t="s">
        <v>74</v>
      </c>
      <c r="L394" t="s">
        <v>74</v>
      </c>
      <c r="M394" t="s">
        <v>74</v>
      </c>
      <c r="N394" t="s">
        <v>78</v>
      </c>
      <c r="O394" t="s">
        <v>74</v>
      </c>
      <c r="P394" t="s">
        <v>74</v>
      </c>
      <c r="Q394" t="s">
        <v>74</v>
      </c>
      <c r="R394" t="s">
        <v>74</v>
      </c>
      <c r="S394" t="s">
        <v>74</v>
      </c>
      <c r="T394" t="s">
        <v>2282</v>
      </c>
      <c r="U394" t="s">
        <v>2283</v>
      </c>
      <c r="V394" t="s">
        <v>2284</v>
      </c>
      <c r="W394" t="s">
        <v>2285</v>
      </c>
      <c r="X394" t="s">
        <v>2286</v>
      </c>
      <c r="Y394" t="s">
        <v>2287</v>
      </c>
      <c r="Z394" t="s">
        <v>2288</v>
      </c>
      <c r="AA394" t="s">
        <v>2289</v>
      </c>
      <c r="AB394" t="s">
        <v>2290</v>
      </c>
      <c r="AC394" t="s">
        <v>74</v>
      </c>
      <c r="AD394" t="s">
        <v>74</v>
      </c>
      <c r="AE394" t="s">
        <v>74</v>
      </c>
      <c r="AF394" t="s">
        <v>74</v>
      </c>
      <c r="AG394">
        <v>64</v>
      </c>
      <c r="AH394">
        <v>11</v>
      </c>
      <c r="AI394">
        <v>11</v>
      </c>
      <c r="AJ394">
        <v>3</v>
      </c>
      <c r="AK394">
        <v>11</v>
      </c>
      <c r="AL394" t="s">
        <v>74</v>
      </c>
      <c r="AM394" t="s">
        <v>74</v>
      </c>
      <c r="AN394" t="s">
        <v>74</v>
      </c>
      <c r="AO394" t="s">
        <v>74</v>
      </c>
      <c r="AP394" t="s">
        <v>2291</v>
      </c>
      <c r="AQ394" t="s">
        <v>74</v>
      </c>
      <c r="AR394" t="s">
        <v>74</v>
      </c>
      <c r="AS394" t="s">
        <v>74</v>
      </c>
      <c r="AT394" t="s">
        <v>236</v>
      </c>
      <c r="AU394">
        <v>2019</v>
      </c>
      <c r="AV394">
        <v>10</v>
      </c>
      <c r="AW394">
        <v>11</v>
      </c>
      <c r="AX394" t="s">
        <v>74</v>
      </c>
      <c r="AY394" t="s">
        <v>74</v>
      </c>
      <c r="AZ394" t="s">
        <v>74</v>
      </c>
      <c r="BA394" t="s">
        <v>74</v>
      </c>
      <c r="BB394" t="s">
        <v>74</v>
      </c>
      <c r="BC394" t="s">
        <v>74</v>
      </c>
      <c r="BD394">
        <v>750</v>
      </c>
      <c r="BE394" t="s">
        <v>2292</v>
      </c>
      <c r="BF394" t="str">
        <f>HYPERLINK("http://dx.doi.org/10.3390/mi10110750","http://dx.doi.org/10.3390/mi10110750")</f>
        <v>http://dx.doi.org/10.3390/mi10110750</v>
      </c>
      <c r="BG394" t="s">
        <v>74</v>
      </c>
      <c r="BH394" t="s">
        <v>74</v>
      </c>
      <c r="BI394" t="s">
        <v>74</v>
      </c>
      <c r="BJ394" t="s">
        <v>2293</v>
      </c>
      <c r="BK394" t="s">
        <v>112</v>
      </c>
      <c r="BL394" t="s">
        <v>2294</v>
      </c>
      <c r="BM394" t="s">
        <v>74</v>
      </c>
      <c r="BN394">
        <v>31683842</v>
      </c>
      <c r="BO394" t="s">
        <v>74</v>
      </c>
      <c r="BP394" t="s">
        <v>74</v>
      </c>
      <c r="BQ394" t="s">
        <v>74</v>
      </c>
      <c r="BR394" t="s">
        <v>93</v>
      </c>
      <c r="BS394" t="s">
        <v>2295</v>
      </c>
      <c r="BT394" t="str">
        <f>HYPERLINK("https%3A%2F%2Fwww.webofscience.com%2Fwos%2Fwoscc%2Ffull-record%2FWOS:000502255300036","View Full Record in Web of Science")</f>
        <v>View Full Record in Web of Science</v>
      </c>
    </row>
    <row r="395" spans="1:72" x14ac:dyDescent="0.15">
      <c r="A395" t="s">
        <v>72</v>
      </c>
      <c r="B395" t="s">
        <v>3603</v>
      </c>
      <c r="C395" t="s">
        <v>74</v>
      </c>
      <c r="D395" t="s">
        <v>74</v>
      </c>
      <c r="E395" t="s">
        <v>74</v>
      </c>
      <c r="F395" t="s">
        <v>3604</v>
      </c>
      <c r="G395" t="s">
        <v>74</v>
      </c>
      <c r="H395" t="s">
        <v>74</v>
      </c>
      <c r="I395" t="s">
        <v>3605</v>
      </c>
      <c r="J395" t="s">
        <v>860</v>
      </c>
      <c r="K395" t="s">
        <v>74</v>
      </c>
      <c r="L395" t="s">
        <v>74</v>
      </c>
      <c r="M395" t="s">
        <v>74</v>
      </c>
      <c r="N395" t="s">
        <v>78</v>
      </c>
      <c r="O395" t="s">
        <v>74</v>
      </c>
      <c r="P395" t="s">
        <v>74</v>
      </c>
      <c r="Q395" t="s">
        <v>74</v>
      </c>
      <c r="R395" t="s">
        <v>74</v>
      </c>
      <c r="S395" t="s">
        <v>74</v>
      </c>
      <c r="T395" t="s">
        <v>3606</v>
      </c>
      <c r="U395" t="s">
        <v>3607</v>
      </c>
      <c r="V395" t="s">
        <v>3608</v>
      </c>
      <c r="W395" t="s">
        <v>3609</v>
      </c>
      <c r="X395" t="s">
        <v>3610</v>
      </c>
      <c r="Y395" t="s">
        <v>3611</v>
      </c>
      <c r="Z395" t="s">
        <v>3612</v>
      </c>
      <c r="AA395" t="s">
        <v>74</v>
      </c>
      <c r="AB395" t="s">
        <v>74</v>
      </c>
      <c r="AC395" t="s">
        <v>74</v>
      </c>
      <c r="AD395" t="s">
        <v>74</v>
      </c>
      <c r="AE395" t="s">
        <v>74</v>
      </c>
      <c r="AF395" t="s">
        <v>74</v>
      </c>
      <c r="AG395">
        <v>39</v>
      </c>
      <c r="AH395">
        <v>11</v>
      </c>
      <c r="AI395">
        <v>11</v>
      </c>
      <c r="AJ395">
        <v>3</v>
      </c>
      <c r="AK395">
        <v>8</v>
      </c>
      <c r="AL395" t="s">
        <v>74</v>
      </c>
      <c r="AM395" t="s">
        <v>74</v>
      </c>
      <c r="AN395" t="s">
        <v>74</v>
      </c>
      <c r="AO395" t="s">
        <v>868</v>
      </c>
      <c r="AP395" t="s">
        <v>869</v>
      </c>
      <c r="AQ395" t="s">
        <v>74</v>
      </c>
      <c r="AR395" t="s">
        <v>74</v>
      </c>
      <c r="AS395" t="s">
        <v>74</v>
      </c>
      <c r="AT395" t="s">
        <v>659</v>
      </c>
      <c r="AU395">
        <v>2020</v>
      </c>
      <c r="AV395">
        <v>20</v>
      </c>
      <c r="AW395">
        <v>3</v>
      </c>
      <c r="AX395" t="s">
        <v>74</v>
      </c>
      <c r="AY395" t="s">
        <v>74</v>
      </c>
      <c r="AZ395" t="s">
        <v>74</v>
      </c>
      <c r="BA395" t="s">
        <v>74</v>
      </c>
      <c r="BB395">
        <v>2199</v>
      </c>
      <c r="BC395">
        <v>2208</v>
      </c>
      <c r="BD395" t="s">
        <v>74</v>
      </c>
      <c r="BE395" t="s">
        <v>3613</v>
      </c>
      <c r="BF395" t="str">
        <f>HYPERLINK("http://dx.doi.org/10.3892/ol.2020.11800","http://dx.doi.org/10.3892/ol.2020.11800")</f>
        <v>http://dx.doi.org/10.3892/ol.2020.11800</v>
      </c>
      <c r="BG395" t="s">
        <v>74</v>
      </c>
      <c r="BH395" t="s">
        <v>74</v>
      </c>
      <c r="BI395" t="s">
        <v>74</v>
      </c>
      <c r="BJ395" t="s">
        <v>146</v>
      </c>
      <c r="BK395" t="s">
        <v>112</v>
      </c>
      <c r="BL395" t="s">
        <v>146</v>
      </c>
      <c r="BM395" t="s">
        <v>74</v>
      </c>
      <c r="BN395">
        <v>32765789</v>
      </c>
      <c r="BO395" t="s">
        <v>74</v>
      </c>
      <c r="BP395" t="s">
        <v>74</v>
      </c>
      <c r="BQ395" t="s">
        <v>74</v>
      </c>
      <c r="BR395" t="s">
        <v>93</v>
      </c>
      <c r="BS395" t="s">
        <v>3614</v>
      </c>
      <c r="BT395" t="str">
        <f>HYPERLINK("https%3A%2F%2Fwww.webofscience.com%2Fwos%2Fwoscc%2Ffull-record%2FWOS:000563938300015","View Full Record in Web of Science")</f>
        <v>View Full Record in Web of Science</v>
      </c>
    </row>
    <row r="396" spans="1:72" x14ac:dyDescent="0.15">
      <c r="A396" t="s">
        <v>72</v>
      </c>
      <c r="B396" t="s">
        <v>3861</v>
      </c>
      <c r="C396" t="s">
        <v>74</v>
      </c>
      <c r="D396" t="s">
        <v>74</v>
      </c>
      <c r="E396" t="s">
        <v>74</v>
      </c>
      <c r="F396" t="s">
        <v>3862</v>
      </c>
      <c r="G396" t="s">
        <v>74</v>
      </c>
      <c r="H396" t="s">
        <v>74</v>
      </c>
      <c r="I396" t="s">
        <v>3863</v>
      </c>
      <c r="J396" t="s">
        <v>1828</v>
      </c>
      <c r="K396" t="s">
        <v>74</v>
      </c>
      <c r="L396" t="s">
        <v>74</v>
      </c>
      <c r="M396" t="s">
        <v>74</v>
      </c>
      <c r="N396" t="s">
        <v>78</v>
      </c>
      <c r="O396" t="s">
        <v>74</v>
      </c>
      <c r="P396" t="s">
        <v>74</v>
      </c>
      <c r="Q396" t="s">
        <v>74</v>
      </c>
      <c r="R396" t="s">
        <v>74</v>
      </c>
      <c r="S396" t="s">
        <v>74</v>
      </c>
      <c r="T396" t="s">
        <v>74</v>
      </c>
      <c r="U396" t="s">
        <v>3864</v>
      </c>
      <c r="V396" t="s">
        <v>3865</v>
      </c>
      <c r="W396" t="s">
        <v>3866</v>
      </c>
      <c r="X396" t="s">
        <v>3867</v>
      </c>
      <c r="Y396" t="s">
        <v>3868</v>
      </c>
      <c r="Z396" t="s">
        <v>3869</v>
      </c>
      <c r="AA396" t="s">
        <v>3870</v>
      </c>
      <c r="AB396" t="s">
        <v>3871</v>
      </c>
      <c r="AC396" t="s">
        <v>74</v>
      </c>
      <c r="AD396" t="s">
        <v>74</v>
      </c>
      <c r="AE396" t="s">
        <v>74</v>
      </c>
      <c r="AF396" t="s">
        <v>74</v>
      </c>
      <c r="AG396">
        <v>34</v>
      </c>
      <c r="AH396">
        <v>11</v>
      </c>
      <c r="AI396">
        <v>11</v>
      </c>
      <c r="AJ396">
        <v>0</v>
      </c>
      <c r="AK396">
        <v>2</v>
      </c>
      <c r="AL396" t="s">
        <v>74</v>
      </c>
      <c r="AM396" t="s">
        <v>74</v>
      </c>
      <c r="AN396" t="s">
        <v>74</v>
      </c>
      <c r="AO396" t="s">
        <v>1837</v>
      </c>
      <c r="AP396" t="s">
        <v>74</v>
      </c>
      <c r="AQ396" t="s">
        <v>74</v>
      </c>
      <c r="AR396" t="s">
        <v>74</v>
      </c>
      <c r="AS396" t="s">
        <v>74</v>
      </c>
      <c r="AT396" t="s">
        <v>3872</v>
      </c>
      <c r="AU396">
        <v>2020</v>
      </c>
      <c r="AV396">
        <v>10</v>
      </c>
      <c r="AW396">
        <v>1</v>
      </c>
      <c r="AX396" t="s">
        <v>74</v>
      </c>
      <c r="AY396" t="s">
        <v>74</v>
      </c>
      <c r="AZ396" t="s">
        <v>74</v>
      </c>
      <c r="BA396" t="s">
        <v>74</v>
      </c>
      <c r="BB396" t="s">
        <v>74</v>
      </c>
      <c r="BC396" t="s">
        <v>74</v>
      </c>
      <c r="BD396">
        <v>6083</v>
      </c>
      <c r="BE396" t="s">
        <v>3873</v>
      </c>
      <c r="BF396" t="str">
        <f>HYPERLINK("http://dx.doi.org/10.1038/s41598-020-63180-8","http://dx.doi.org/10.1038/s41598-020-63180-8")</f>
        <v>http://dx.doi.org/10.1038/s41598-020-63180-8</v>
      </c>
      <c r="BG396" t="s">
        <v>74</v>
      </c>
      <c r="BH396" t="s">
        <v>74</v>
      </c>
      <c r="BI396" t="s">
        <v>74</v>
      </c>
      <c r="BJ396" t="s">
        <v>545</v>
      </c>
      <c r="BK396" t="s">
        <v>112</v>
      </c>
      <c r="BL396" t="s">
        <v>546</v>
      </c>
      <c r="BM396" t="s">
        <v>74</v>
      </c>
      <c r="BN396">
        <v>32269293</v>
      </c>
      <c r="BO396" t="s">
        <v>74</v>
      </c>
      <c r="BP396" t="s">
        <v>74</v>
      </c>
      <c r="BQ396" t="s">
        <v>74</v>
      </c>
      <c r="BR396" t="s">
        <v>93</v>
      </c>
      <c r="BS396" t="s">
        <v>3874</v>
      </c>
      <c r="BT396" t="str">
        <f>HYPERLINK("https%3A%2F%2Fwww.webofscience.com%2Fwos%2Fwoscc%2Ffull-record%2FWOS:000559751400007","View Full Record in Web of Science")</f>
        <v>View Full Record in Web of Science</v>
      </c>
    </row>
    <row r="397" spans="1:72" x14ac:dyDescent="0.15">
      <c r="A397" t="s">
        <v>72</v>
      </c>
      <c r="B397" t="s">
        <v>4460</v>
      </c>
      <c r="C397" t="s">
        <v>74</v>
      </c>
      <c r="D397" t="s">
        <v>74</v>
      </c>
      <c r="E397" t="s">
        <v>74</v>
      </c>
      <c r="F397" t="s">
        <v>4461</v>
      </c>
      <c r="G397" t="s">
        <v>74</v>
      </c>
      <c r="H397" t="s">
        <v>74</v>
      </c>
      <c r="I397" t="s">
        <v>4462</v>
      </c>
      <c r="J397" t="s">
        <v>297</v>
      </c>
      <c r="K397" t="s">
        <v>74</v>
      </c>
      <c r="L397" t="s">
        <v>74</v>
      </c>
      <c r="M397" t="s">
        <v>74</v>
      </c>
      <c r="N397" t="s">
        <v>78</v>
      </c>
      <c r="O397" t="s">
        <v>74</v>
      </c>
      <c r="P397" t="s">
        <v>74</v>
      </c>
      <c r="Q397" t="s">
        <v>74</v>
      </c>
      <c r="R397" t="s">
        <v>74</v>
      </c>
      <c r="S397" t="s">
        <v>74</v>
      </c>
      <c r="T397" t="s">
        <v>4463</v>
      </c>
      <c r="U397" t="s">
        <v>4464</v>
      </c>
      <c r="V397" t="s">
        <v>4465</v>
      </c>
      <c r="W397" t="s">
        <v>4466</v>
      </c>
      <c r="X397" t="s">
        <v>4467</v>
      </c>
      <c r="Y397" t="s">
        <v>4468</v>
      </c>
      <c r="Z397" t="s">
        <v>4469</v>
      </c>
      <c r="AA397" t="s">
        <v>74</v>
      </c>
      <c r="AB397" t="s">
        <v>4470</v>
      </c>
      <c r="AC397" t="s">
        <v>74</v>
      </c>
      <c r="AD397" t="s">
        <v>74</v>
      </c>
      <c r="AE397" t="s">
        <v>74</v>
      </c>
      <c r="AF397" t="s">
        <v>74</v>
      </c>
      <c r="AG397">
        <v>55</v>
      </c>
      <c r="AH397">
        <v>11</v>
      </c>
      <c r="AI397">
        <v>11</v>
      </c>
      <c r="AJ397">
        <v>5</v>
      </c>
      <c r="AK397">
        <v>10</v>
      </c>
      <c r="AL397" t="s">
        <v>74</v>
      </c>
      <c r="AM397" t="s">
        <v>74</v>
      </c>
      <c r="AN397" t="s">
        <v>74</v>
      </c>
      <c r="AO397" t="s">
        <v>307</v>
      </c>
      <c r="AP397" t="s">
        <v>74</v>
      </c>
      <c r="AQ397" t="s">
        <v>74</v>
      </c>
      <c r="AR397" t="s">
        <v>74</v>
      </c>
      <c r="AS397" t="s">
        <v>74</v>
      </c>
      <c r="AT397" t="s">
        <v>4471</v>
      </c>
      <c r="AU397">
        <v>2020</v>
      </c>
      <c r="AV397">
        <v>21</v>
      </c>
      <c r="AW397">
        <v>1</v>
      </c>
      <c r="AX397" t="s">
        <v>74</v>
      </c>
      <c r="AY397" t="s">
        <v>74</v>
      </c>
      <c r="AZ397" t="s">
        <v>74</v>
      </c>
      <c r="BA397" t="s">
        <v>74</v>
      </c>
      <c r="BB397" t="s">
        <v>74</v>
      </c>
      <c r="BC397" t="s">
        <v>74</v>
      </c>
      <c r="BD397" t="s">
        <v>74</v>
      </c>
      <c r="BE397" t="s">
        <v>4472</v>
      </c>
      <c r="BF397" t="str">
        <f>HYPERLINK("http://dx.doi.org/10.1186/s12864-020-6660-7","http://dx.doi.org/10.1186/s12864-020-6660-7")</f>
        <v>http://dx.doi.org/10.1186/s12864-020-6660-7</v>
      </c>
      <c r="BG397" t="s">
        <v>74</v>
      </c>
      <c r="BH397" t="s">
        <v>74</v>
      </c>
      <c r="BI397" t="s">
        <v>74</v>
      </c>
      <c r="BJ397" t="s">
        <v>310</v>
      </c>
      <c r="BK397" t="s">
        <v>112</v>
      </c>
      <c r="BL397" t="s">
        <v>310</v>
      </c>
      <c r="BM397" t="s">
        <v>74</v>
      </c>
      <c r="BN397">
        <v>32293248</v>
      </c>
      <c r="BO397" t="s">
        <v>74</v>
      </c>
      <c r="BP397" t="s">
        <v>74</v>
      </c>
      <c r="BQ397" t="s">
        <v>74</v>
      </c>
      <c r="BR397" t="s">
        <v>93</v>
      </c>
      <c r="BS397" t="s">
        <v>4473</v>
      </c>
      <c r="BT397" t="str">
        <f>HYPERLINK("https%3A%2F%2Fwww.webofscience.com%2Fwos%2Fwoscc%2Ffull-record%2FWOS:000529208400006","View Full Record in Web of Science")</f>
        <v>View Full Record in Web of Science</v>
      </c>
    </row>
    <row r="398" spans="1:72" x14ac:dyDescent="0.15">
      <c r="A398" t="s">
        <v>72</v>
      </c>
      <c r="B398" t="s">
        <v>4646</v>
      </c>
      <c r="C398" t="s">
        <v>74</v>
      </c>
      <c r="D398" t="s">
        <v>74</v>
      </c>
      <c r="E398" t="s">
        <v>74</v>
      </c>
      <c r="F398" t="s">
        <v>4647</v>
      </c>
      <c r="G398" t="s">
        <v>74</v>
      </c>
      <c r="H398" t="s">
        <v>74</v>
      </c>
      <c r="I398" t="s">
        <v>4648</v>
      </c>
      <c r="J398" t="s">
        <v>3571</v>
      </c>
      <c r="K398" t="s">
        <v>74</v>
      </c>
      <c r="L398" t="s">
        <v>74</v>
      </c>
      <c r="M398" t="s">
        <v>74</v>
      </c>
      <c r="N398" t="s">
        <v>78</v>
      </c>
      <c r="O398" t="s">
        <v>74</v>
      </c>
      <c r="P398" t="s">
        <v>74</v>
      </c>
      <c r="Q398" t="s">
        <v>74</v>
      </c>
      <c r="R398" t="s">
        <v>74</v>
      </c>
      <c r="S398" t="s">
        <v>74</v>
      </c>
      <c r="T398" t="s">
        <v>4649</v>
      </c>
      <c r="U398" t="s">
        <v>4650</v>
      </c>
      <c r="V398" t="s">
        <v>4651</v>
      </c>
      <c r="W398" t="s">
        <v>4652</v>
      </c>
      <c r="X398" t="s">
        <v>4653</v>
      </c>
      <c r="Y398" t="s">
        <v>4654</v>
      </c>
      <c r="Z398" t="s">
        <v>4655</v>
      </c>
      <c r="AA398" t="s">
        <v>74</v>
      </c>
      <c r="AB398" t="s">
        <v>74</v>
      </c>
      <c r="AC398" t="s">
        <v>74</v>
      </c>
      <c r="AD398" t="s">
        <v>74</v>
      </c>
      <c r="AE398" t="s">
        <v>74</v>
      </c>
      <c r="AF398" t="s">
        <v>74</v>
      </c>
      <c r="AG398">
        <v>76</v>
      </c>
      <c r="AH398">
        <v>11</v>
      </c>
      <c r="AI398">
        <v>11</v>
      </c>
      <c r="AJ398">
        <v>35</v>
      </c>
      <c r="AK398">
        <v>131</v>
      </c>
      <c r="AL398" t="s">
        <v>74</v>
      </c>
      <c r="AM398" t="s">
        <v>74</v>
      </c>
      <c r="AN398" t="s">
        <v>74</v>
      </c>
      <c r="AO398" t="s">
        <v>74</v>
      </c>
      <c r="AP398" t="s">
        <v>3579</v>
      </c>
      <c r="AQ398" t="s">
        <v>74</v>
      </c>
      <c r="AR398" t="s">
        <v>74</v>
      </c>
      <c r="AS398" t="s">
        <v>74</v>
      </c>
      <c r="AT398" t="s">
        <v>4656</v>
      </c>
      <c r="AU398">
        <v>2021</v>
      </c>
      <c r="AV398">
        <v>332</v>
      </c>
      <c r="AW398" t="s">
        <v>74</v>
      </c>
      <c r="AX398" t="s">
        <v>74</v>
      </c>
      <c r="AY398" t="s">
        <v>74</v>
      </c>
      <c r="AZ398" t="s">
        <v>74</v>
      </c>
      <c r="BA398" t="s">
        <v>74</v>
      </c>
      <c r="BB398" t="s">
        <v>74</v>
      </c>
      <c r="BC398" t="s">
        <v>74</v>
      </c>
      <c r="BD398">
        <v>129471</v>
      </c>
      <c r="BE398" t="s">
        <v>4657</v>
      </c>
      <c r="BF398" t="str">
        <f>HYPERLINK("http://dx.doi.org/10.1016/j.snb.2021.129471","http://dx.doi.org/10.1016/j.snb.2021.129471")</f>
        <v>http://dx.doi.org/10.1016/j.snb.2021.129471</v>
      </c>
      <c r="BG398" t="s">
        <v>74</v>
      </c>
      <c r="BH398" t="s">
        <v>2735</v>
      </c>
      <c r="BI398" t="s">
        <v>74</v>
      </c>
      <c r="BJ398" t="s">
        <v>3582</v>
      </c>
      <c r="BK398" t="s">
        <v>112</v>
      </c>
      <c r="BL398" t="s">
        <v>3583</v>
      </c>
      <c r="BM398" t="s">
        <v>74</v>
      </c>
      <c r="BN398" t="s">
        <v>74</v>
      </c>
      <c r="BO398" t="s">
        <v>74</v>
      </c>
      <c r="BP398" t="s">
        <v>74</v>
      </c>
      <c r="BQ398" t="s">
        <v>74</v>
      </c>
      <c r="BR398" t="s">
        <v>93</v>
      </c>
      <c r="BS398" t="s">
        <v>4658</v>
      </c>
      <c r="BT398" t="str">
        <f>HYPERLINK("https%3A%2F%2Fwww.webofscience.com%2Fwos%2Fwoscc%2Ffull-record%2FWOS:000618773500010","View Full Record in Web of Science")</f>
        <v>View Full Record in Web of Science</v>
      </c>
    </row>
    <row r="399" spans="1:72" x14ac:dyDescent="0.15">
      <c r="A399" t="s">
        <v>72</v>
      </c>
      <c r="B399" t="s">
        <v>4914</v>
      </c>
      <c r="C399" t="s">
        <v>74</v>
      </c>
      <c r="D399" t="s">
        <v>74</v>
      </c>
      <c r="E399" t="s">
        <v>74</v>
      </c>
      <c r="F399" t="s">
        <v>4915</v>
      </c>
      <c r="G399" t="s">
        <v>74</v>
      </c>
      <c r="H399" t="s">
        <v>74</v>
      </c>
      <c r="I399" t="s">
        <v>4916</v>
      </c>
      <c r="J399" t="s">
        <v>4917</v>
      </c>
      <c r="K399" t="s">
        <v>74</v>
      </c>
      <c r="L399" t="s">
        <v>74</v>
      </c>
      <c r="M399" t="s">
        <v>74</v>
      </c>
      <c r="N399" t="s">
        <v>78</v>
      </c>
      <c r="O399" t="s">
        <v>74</v>
      </c>
      <c r="P399" t="s">
        <v>74</v>
      </c>
      <c r="Q399" t="s">
        <v>74</v>
      </c>
      <c r="R399" t="s">
        <v>74</v>
      </c>
      <c r="S399" t="s">
        <v>74</v>
      </c>
      <c r="T399" t="s">
        <v>74</v>
      </c>
      <c r="U399" t="s">
        <v>4918</v>
      </c>
      <c r="V399" t="s">
        <v>4919</v>
      </c>
      <c r="W399" t="s">
        <v>4920</v>
      </c>
      <c r="X399" t="s">
        <v>4921</v>
      </c>
      <c r="Y399" t="s">
        <v>4922</v>
      </c>
      <c r="Z399" t="s">
        <v>4923</v>
      </c>
      <c r="AA399" t="s">
        <v>4924</v>
      </c>
      <c r="AB399" t="s">
        <v>4925</v>
      </c>
      <c r="AC399" t="s">
        <v>74</v>
      </c>
      <c r="AD399" t="s">
        <v>74</v>
      </c>
      <c r="AE399" t="s">
        <v>74</v>
      </c>
      <c r="AF399" t="s">
        <v>74</v>
      </c>
      <c r="AG399">
        <v>68</v>
      </c>
      <c r="AH399">
        <v>11</v>
      </c>
      <c r="AI399">
        <v>11</v>
      </c>
      <c r="AJ399">
        <v>7</v>
      </c>
      <c r="AK399">
        <v>44</v>
      </c>
      <c r="AL399" t="s">
        <v>74</v>
      </c>
      <c r="AM399" t="s">
        <v>74</v>
      </c>
      <c r="AN399" t="s">
        <v>74</v>
      </c>
      <c r="AO399" t="s">
        <v>4926</v>
      </c>
      <c r="AP399" t="s">
        <v>4927</v>
      </c>
      <c r="AQ399" t="s">
        <v>74</v>
      </c>
      <c r="AR399" t="s">
        <v>74</v>
      </c>
      <c r="AS399" t="s">
        <v>74</v>
      </c>
      <c r="AT399" t="s">
        <v>4928</v>
      </c>
      <c r="AU399">
        <v>2019</v>
      </c>
      <c r="AV399">
        <v>62</v>
      </c>
      <c r="AW399">
        <v>4</v>
      </c>
      <c r="AX399" t="s">
        <v>74</v>
      </c>
      <c r="AY399" t="s">
        <v>74</v>
      </c>
      <c r="AZ399" t="s">
        <v>74</v>
      </c>
      <c r="BA399" t="s">
        <v>74</v>
      </c>
      <c r="BB399">
        <v>1959</v>
      </c>
      <c r="BC399">
        <v>1970</v>
      </c>
      <c r="BD399" t="s">
        <v>74</v>
      </c>
      <c r="BE399" t="s">
        <v>4929</v>
      </c>
      <c r="BF399" t="str">
        <f>HYPERLINK("http://dx.doi.org/10.1021/acs.jmedchem.8b01508","http://dx.doi.org/10.1021/acs.jmedchem.8b01508")</f>
        <v>http://dx.doi.org/10.1021/acs.jmedchem.8b01508</v>
      </c>
      <c r="BG399" t="s">
        <v>74</v>
      </c>
      <c r="BH399" t="s">
        <v>74</v>
      </c>
      <c r="BI399" t="s">
        <v>74</v>
      </c>
      <c r="BJ399" t="s">
        <v>4930</v>
      </c>
      <c r="BK399" t="s">
        <v>4931</v>
      </c>
      <c r="BL399" t="s">
        <v>1275</v>
      </c>
      <c r="BM399" t="s">
        <v>74</v>
      </c>
      <c r="BN399">
        <v>30703330</v>
      </c>
      <c r="BO399" t="s">
        <v>74</v>
      </c>
      <c r="BP399" t="s">
        <v>74</v>
      </c>
      <c r="BQ399" t="s">
        <v>74</v>
      </c>
      <c r="BR399" t="s">
        <v>93</v>
      </c>
      <c r="BS399" t="s">
        <v>4932</v>
      </c>
      <c r="BT399" t="str">
        <f>HYPERLINK("https%3A%2F%2Fwww.webofscience.com%2Fwos%2Fwoscc%2Ffull-record%2FWOS:000460365600016","View Full Record in Web of Science")</f>
        <v>View Full Record in Web of Science</v>
      </c>
    </row>
    <row r="400" spans="1:72" x14ac:dyDescent="0.15">
      <c r="A400" t="s">
        <v>72</v>
      </c>
      <c r="B400" t="s">
        <v>5384</v>
      </c>
      <c r="C400" t="s">
        <v>74</v>
      </c>
      <c r="D400" t="s">
        <v>74</v>
      </c>
      <c r="E400" t="s">
        <v>74</v>
      </c>
      <c r="F400" t="s">
        <v>5385</v>
      </c>
      <c r="G400" t="s">
        <v>74</v>
      </c>
      <c r="H400" t="s">
        <v>74</v>
      </c>
      <c r="I400" t="s">
        <v>5386</v>
      </c>
      <c r="J400" t="s">
        <v>5387</v>
      </c>
      <c r="K400" t="s">
        <v>74</v>
      </c>
      <c r="L400" t="s">
        <v>74</v>
      </c>
      <c r="M400" t="s">
        <v>74</v>
      </c>
      <c r="N400" t="s">
        <v>78</v>
      </c>
      <c r="O400" t="s">
        <v>74</v>
      </c>
      <c r="P400" t="s">
        <v>74</v>
      </c>
      <c r="Q400" t="s">
        <v>74</v>
      </c>
      <c r="R400" t="s">
        <v>74</v>
      </c>
      <c r="S400" t="s">
        <v>74</v>
      </c>
      <c r="T400" t="s">
        <v>5388</v>
      </c>
      <c r="U400" t="s">
        <v>5389</v>
      </c>
      <c r="V400" t="s">
        <v>5390</v>
      </c>
      <c r="W400" t="s">
        <v>5391</v>
      </c>
      <c r="X400" t="s">
        <v>5392</v>
      </c>
      <c r="Y400" t="s">
        <v>5393</v>
      </c>
      <c r="Z400" t="s">
        <v>5394</v>
      </c>
      <c r="AA400" t="s">
        <v>74</v>
      </c>
      <c r="AB400" t="s">
        <v>74</v>
      </c>
      <c r="AC400" t="s">
        <v>74</v>
      </c>
      <c r="AD400" t="s">
        <v>74</v>
      </c>
      <c r="AE400" t="s">
        <v>74</v>
      </c>
      <c r="AF400" t="s">
        <v>74</v>
      </c>
      <c r="AG400">
        <v>79</v>
      </c>
      <c r="AH400">
        <v>11</v>
      </c>
      <c r="AI400">
        <v>11</v>
      </c>
      <c r="AJ400">
        <v>0</v>
      </c>
      <c r="AK400">
        <v>29</v>
      </c>
      <c r="AL400" t="s">
        <v>74</v>
      </c>
      <c r="AM400" t="s">
        <v>74</v>
      </c>
      <c r="AN400" t="s">
        <v>74</v>
      </c>
      <c r="AO400" t="s">
        <v>74</v>
      </c>
      <c r="AP400" t="s">
        <v>5395</v>
      </c>
      <c r="AQ400" t="s">
        <v>74</v>
      </c>
      <c r="AR400" t="s">
        <v>74</v>
      </c>
      <c r="AS400" t="s">
        <v>74</v>
      </c>
      <c r="AT400" t="s">
        <v>5396</v>
      </c>
      <c r="AU400">
        <v>2014</v>
      </c>
      <c r="AV400">
        <v>9</v>
      </c>
      <c r="AW400" t="s">
        <v>74</v>
      </c>
      <c r="AX400" t="s">
        <v>74</v>
      </c>
      <c r="AY400" t="s">
        <v>74</v>
      </c>
      <c r="AZ400" t="s">
        <v>74</v>
      </c>
      <c r="BA400" t="s">
        <v>74</v>
      </c>
      <c r="BB400" t="s">
        <v>74</v>
      </c>
      <c r="BC400" t="s">
        <v>74</v>
      </c>
      <c r="BD400">
        <v>27</v>
      </c>
      <c r="BE400" t="s">
        <v>5397</v>
      </c>
      <c r="BF400" t="str">
        <f>HYPERLINK("http://dx.doi.org/10.1186/s13062-014-0027-4","http://dx.doi.org/10.1186/s13062-014-0027-4")</f>
        <v>http://dx.doi.org/10.1186/s13062-014-0027-4</v>
      </c>
      <c r="BG400" t="s">
        <v>74</v>
      </c>
      <c r="BH400" t="s">
        <v>74</v>
      </c>
      <c r="BI400" t="s">
        <v>74</v>
      </c>
      <c r="BJ400" t="s">
        <v>5398</v>
      </c>
      <c r="BK400" t="s">
        <v>112</v>
      </c>
      <c r="BL400" t="s">
        <v>5399</v>
      </c>
      <c r="BM400" t="s">
        <v>74</v>
      </c>
      <c r="BN400">
        <v>25472905</v>
      </c>
      <c r="BO400" t="s">
        <v>74</v>
      </c>
      <c r="BP400" t="s">
        <v>74</v>
      </c>
      <c r="BQ400" t="s">
        <v>74</v>
      </c>
      <c r="BR400" t="s">
        <v>93</v>
      </c>
      <c r="BS400" t="s">
        <v>5400</v>
      </c>
      <c r="BT400" t="str">
        <f>HYPERLINK("https%3A%2F%2Fwww.webofscience.com%2Fwos%2Fwoscc%2Ffull-record%2FWOS:000346385400001","View Full Record in Web of Science")</f>
        <v>View Full Record in Web of Science</v>
      </c>
    </row>
    <row r="401" spans="1:72" x14ac:dyDescent="0.15">
      <c r="A401" t="s">
        <v>72</v>
      </c>
      <c r="B401" t="s">
        <v>1652</v>
      </c>
      <c r="C401" t="s">
        <v>74</v>
      </c>
      <c r="D401" t="s">
        <v>74</v>
      </c>
      <c r="E401" t="s">
        <v>74</v>
      </c>
      <c r="F401" t="s">
        <v>1653</v>
      </c>
      <c r="G401" t="s">
        <v>74</v>
      </c>
      <c r="H401" t="s">
        <v>74</v>
      </c>
      <c r="I401" t="s">
        <v>5981</v>
      </c>
      <c r="J401" t="s">
        <v>1202</v>
      </c>
      <c r="K401" t="s">
        <v>74</v>
      </c>
      <c r="L401" t="s">
        <v>74</v>
      </c>
      <c r="M401" t="s">
        <v>74</v>
      </c>
      <c r="N401" t="s">
        <v>78</v>
      </c>
      <c r="O401" t="s">
        <v>74</v>
      </c>
      <c r="P401" t="s">
        <v>74</v>
      </c>
      <c r="Q401" t="s">
        <v>74</v>
      </c>
      <c r="R401" t="s">
        <v>74</v>
      </c>
      <c r="S401" t="s">
        <v>74</v>
      </c>
      <c r="T401" t="s">
        <v>5982</v>
      </c>
      <c r="U401" t="s">
        <v>5983</v>
      </c>
      <c r="V401" t="s">
        <v>5984</v>
      </c>
      <c r="W401" t="s">
        <v>5985</v>
      </c>
      <c r="X401" t="s">
        <v>1658</v>
      </c>
      <c r="Y401" t="s">
        <v>5986</v>
      </c>
      <c r="Z401" t="s">
        <v>1660</v>
      </c>
      <c r="AA401" t="s">
        <v>74</v>
      </c>
      <c r="AB401" t="s">
        <v>74</v>
      </c>
      <c r="AC401" t="s">
        <v>74</v>
      </c>
      <c r="AD401" t="s">
        <v>74</v>
      </c>
      <c r="AE401" t="s">
        <v>74</v>
      </c>
      <c r="AF401" t="s">
        <v>74</v>
      </c>
      <c r="AG401">
        <v>26</v>
      </c>
      <c r="AH401">
        <v>11</v>
      </c>
      <c r="AI401">
        <v>11</v>
      </c>
      <c r="AJ401">
        <v>1</v>
      </c>
      <c r="AK401">
        <v>23</v>
      </c>
      <c r="AL401" t="s">
        <v>74</v>
      </c>
      <c r="AM401" t="s">
        <v>74</v>
      </c>
      <c r="AN401" t="s">
        <v>74</v>
      </c>
      <c r="AO401" t="s">
        <v>1211</v>
      </c>
      <c r="AP401" t="s">
        <v>1212</v>
      </c>
      <c r="AQ401" t="s">
        <v>74</v>
      </c>
      <c r="AR401" t="s">
        <v>74</v>
      </c>
      <c r="AS401" t="s">
        <v>74</v>
      </c>
      <c r="AT401" t="s">
        <v>818</v>
      </c>
      <c r="AU401">
        <v>2018</v>
      </c>
      <c r="AV401">
        <v>483</v>
      </c>
      <c r="AW401" t="s">
        <v>74</v>
      </c>
      <c r="AX401" t="s">
        <v>74</v>
      </c>
      <c r="AY401" t="s">
        <v>74</v>
      </c>
      <c r="AZ401" t="s">
        <v>74</v>
      </c>
      <c r="BA401" t="s">
        <v>74</v>
      </c>
      <c r="BB401">
        <v>39</v>
      </c>
      <c r="BC401">
        <v>47</v>
      </c>
      <c r="BD401" t="s">
        <v>74</v>
      </c>
      <c r="BE401" t="s">
        <v>5987</v>
      </c>
      <c r="BF401" t="str">
        <f>HYPERLINK("http://dx.doi.org/10.1016/j.cca.2018.04.017","http://dx.doi.org/10.1016/j.cca.2018.04.017")</f>
        <v>http://dx.doi.org/10.1016/j.cca.2018.04.017</v>
      </c>
      <c r="BG401" t="s">
        <v>74</v>
      </c>
      <c r="BH401" t="s">
        <v>74</v>
      </c>
      <c r="BI401" t="s">
        <v>74</v>
      </c>
      <c r="BJ401" t="s">
        <v>1214</v>
      </c>
      <c r="BK401" t="s">
        <v>112</v>
      </c>
      <c r="BL401" t="s">
        <v>1214</v>
      </c>
      <c r="BM401" t="s">
        <v>74</v>
      </c>
      <c r="BN401">
        <v>29655637</v>
      </c>
      <c r="BO401" t="s">
        <v>74</v>
      </c>
      <c r="BP401" t="s">
        <v>74</v>
      </c>
      <c r="BQ401" t="s">
        <v>74</v>
      </c>
      <c r="BR401" t="s">
        <v>93</v>
      </c>
      <c r="BS401" t="s">
        <v>5988</v>
      </c>
      <c r="BT401" t="str">
        <f>HYPERLINK("https%3A%2F%2Fwww.webofscience.com%2Fwos%2Fwoscc%2Ffull-record%2FWOS:000438180600007","View Full Record in Web of Science")</f>
        <v>View Full Record in Web of Science</v>
      </c>
    </row>
    <row r="402" spans="1:72" x14ac:dyDescent="0.15">
      <c r="A402" t="s">
        <v>72</v>
      </c>
      <c r="B402" t="s">
        <v>6937</v>
      </c>
      <c r="C402" t="s">
        <v>74</v>
      </c>
      <c r="D402" t="s">
        <v>74</v>
      </c>
      <c r="E402" t="s">
        <v>74</v>
      </c>
      <c r="F402" t="s">
        <v>6938</v>
      </c>
      <c r="G402" t="s">
        <v>74</v>
      </c>
      <c r="H402" t="s">
        <v>74</v>
      </c>
      <c r="I402" t="s">
        <v>6939</v>
      </c>
      <c r="J402" t="s">
        <v>4853</v>
      </c>
      <c r="K402" t="s">
        <v>74</v>
      </c>
      <c r="L402" t="s">
        <v>74</v>
      </c>
      <c r="M402" t="s">
        <v>74</v>
      </c>
      <c r="N402" t="s">
        <v>78</v>
      </c>
      <c r="O402" t="s">
        <v>74</v>
      </c>
      <c r="P402" t="s">
        <v>74</v>
      </c>
      <c r="Q402" t="s">
        <v>74</v>
      </c>
      <c r="R402" t="s">
        <v>74</v>
      </c>
      <c r="S402" t="s">
        <v>74</v>
      </c>
      <c r="T402" t="s">
        <v>74</v>
      </c>
      <c r="U402" t="s">
        <v>6940</v>
      </c>
      <c r="V402" t="s">
        <v>6941</v>
      </c>
      <c r="W402" t="s">
        <v>6942</v>
      </c>
      <c r="X402" t="s">
        <v>6943</v>
      </c>
      <c r="Y402" t="s">
        <v>6944</v>
      </c>
      <c r="Z402" t="s">
        <v>6945</v>
      </c>
      <c r="AA402" t="s">
        <v>6946</v>
      </c>
      <c r="AB402" t="s">
        <v>6947</v>
      </c>
      <c r="AC402" t="s">
        <v>74</v>
      </c>
      <c r="AD402" t="s">
        <v>74</v>
      </c>
      <c r="AE402" t="s">
        <v>74</v>
      </c>
      <c r="AF402" t="s">
        <v>74</v>
      </c>
      <c r="AG402">
        <v>74</v>
      </c>
      <c r="AH402">
        <v>11</v>
      </c>
      <c r="AI402">
        <v>11</v>
      </c>
      <c r="AJ402">
        <v>2</v>
      </c>
      <c r="AK402">
        <v>14</v>
      </c>
      <c r="AL402" t="s">
        <v>74</v>
      </c>
      <c r="AM402" t="s">
        <v>74</v>
      </c>
      <c r="AN402" t="s">
        <v>74</v>
      </c>
      <c r="AO402" t="s">
        <v>74</v>
      </c>
      <c r="AP402" t="s">
        <v>4861</v>
      </c>
      <c r="AQ402" t="s">
        <v>74</v>
      </c>
      <c r="AR402" t="s">
        <v>74</v>
      </c>
      <c r="AS402" t="s">
        <v>74</v>
      </c>
      <c r="AT402" t="s">
        <v>6948</v>
      </c>
      <c r="AU402">
        <v>2020</v>
      </c>
      <c r="AV402">
        <v>23</v>
      </c>
      <c r="AW402">
        <v>12</v>
      </c>
      <c r="AX402" t="s">
        <v>74</v>
      </c>
      <c r="AY402" t="s">
        <v>74</v>
      </c>
      <c r="AZ402" t="s">
        <v>74</v>
      </c>
      <c r="BA402" t="s">
        <v>74</v>
      </c>
      <c r="BB402" t="s">
        <v>74</v>
      </c>
      <c r="BC402" t="s">
        <v>74</v>
      </c>
      <c r="BD402">
        <v>101844</v>
      </c>
      <c r="BE402" t="s">
        <v>6949</v>
      </c>
      <c r="BF402" t="str">
        <f>HYPERLINK("http://dx.doi.org/10.1016/j.isci.2020.101844","http://dx.doi.org/10.1016/j.isci.2020.101844")</f>
        <v>http://dx.doi.org/10.1016/j.isci.2020.101844</v>
      </c>
      <c r="BG402" t="s">
        <v>74</v>
      </c>
      <c r="BH402" t="s">
        <v>74</v>
      </c>
      <c r="BI402" t="s">
        <v>74</v>
      </c>
      <c r="BJ402" t="s">
        <v>545</v>
      </c>
      <c r="BK402" t="s">
        <v>112</v>
      </c>
      <c r="BL402" t="s">
        <v>546</v>
      </c>
      <c r="BM402" t="s">
        <v>74</v>
      </c>
      <c r="BN402">
        <v>33376973</v>
      </c>
      <c r="BO402" t="s">
        <v>74</v>
      </c>
      <c r="BP402" t="s">
        <v>74</v>
      </c>
      <c r="BQ402" t="s">
        <v>74</v>
      </c>
      <c r="BR402" t="s">
        <v>93</v>
      </c>
      <c r="BS402" t="s">
        <v>6950</v>
      </c>
      <c r="BT402" t="str">
        <f>HYPERLINK("https%3A%2F%2Fwww.webofscience.com%2Fwos%2Fwoscc%2Ffull-record%2FWOS:000600670000087","View Full Record in Web of Science")</f>
        <v>View Full Record in Web of Science</v>
      </c>
    </row>
    <row r="403" spans="1:72" x14ac:dyDescent="0.15">
      <c r="A403" t="s">
        <v>72</v>
      </c>
      <c r="B403" t="s">
        <v>7821</v>
      </c>
      <c r="C403" t="s">
        <v>74</v>
      </c>
      <c r="D403" t="s">
        <v>74</v>
      </c>
      <c r="E403" t="s">
        <v>74</v>
      </c>
      <c r="F403" t="s">
        <v>7822</v>
      </c>
      <c r="G403" t="s">
        <v>74</v>
      </c>
      <c r="H403" t="s">
        <v>74</v>
      </c>
      <c r="I403" t="s">
        <v>7823</v>
      </c>
      <c r="J403" t="s">
        <v>7824</v>
      </c>
      <c r="K403" t="s">
        <v>74</v>
      </c>
      <c r="L403" t="s">
        <v>74</v>
      </c>
      <c r="M403" t="s">
        <v>74</v>
      </c>
      <c r="N403" t="s">
        <v>78</v>
      </c>
      <c r="O403" t="s">
        <v>74</v>
      </c>
      <c r="P403" t="s">
        <v>74</v>
      </c>
      <c r="Q403" t="s">
        <v>74</v>
      </c>
      <c r="R403" t="s">
        <v>74</v>
      </c>
      <c r="S403" t="s">
        <v>74</v>
      </c>
      <c r="T403" t="s">
        <v>7825</v>
      </c>
      <c r="U403" t="s">
        <v>7826</v>
      </c>
      <c r="V403" t="s">
        <v>7827</v>
      </c>
      <c r="W403" t="s">
        <v>7828</v>
      </c>
      <c r="X403" t="s">
        <v>7829</v>
      </c>
      <c r="Y403" t="s">
        <v>4953</v>
      </c>
      <c r="Z403" t="s">
        <v>395</v>
      </c>
      <c r="AA403" t="s">
        <v>7830</v>
      </c>
      <c r="AB403" t="s">
        <v>7831</v>
      </c>
      <c r="AC403" t="s">
        <v>74</v>
      </c>
      <c r="AD403" t="s">
        <v>74</v>
      </c>
      <c r="AE403" t="s">
        <v>74</v>
      </c>
      <c r="AF403" t="s">
        <v>74</v>
      </c>
      <c r="AG403">
        <v>21</v>
      </c>
      <c r="AH403">
        <v>11</v>
      </c>
      <c r="AI403">
        <v>12</v>
      </c>
      <c r="AJ403">
        <v>0</v>
      </c>
      <c r="AK403">
        <v>9</v>
      </c>
      <c r="AL403" t="s">
        <v>74</v>
      </c>
      <c r="AM403" t="s">
        <v>74</v>
      </c>
      <c r="AN403" t="s">
        <v>74</v>
      </c>
      <c r="AO403" t="s">
        <v>7832</v>
      </c>
      <c r="AP403" t="s">
        <v>7833</v>
      </c>
      <c r="AQ403" t="s">
        <v>74</v>
      </c>
      <c r="AR403" t="s">
        <v>74</v>
      </c>
      <c r="AS403" t="s">
        <v>74</v>
      </c>
      <c r="AT403" t="s">
        <v>7834</v>
      </c>
      <c r="AU403">
        <v>2016</v>
      </c>
      <c r="AV403">
        <v>217</v>
      </c>
      <c r="AW403" t="s">
        <v>74</v>
      </c>
      <c r="AX403" t="s">
        <v>74</v>
      </c>
      <c r="AY403" t="s">
        <v>74</v>
      </c>
      <c r="AZ403" t="s">
        <v>74</v>
      </c>
      <c r="BA403" t="s">
        <v>74</v>
      </c>
      <c r="BB403">
        <v>18</v>
      </c>
      <c r="BC403">
        <v>22</v>
      </c>
      <c r="BD403" t="s">
        <v>74</v>
      </c>
      <c r="BE403" t="s">
        <v>7835</v>
      </c>
      <c r="BF403" t="str">
        <f>HYPERLINK("http://dx.doi.org/10.1016/j.virusres.2016.03.003","http://dx.doi.org/10.1016/j.virusres.2016.03.003")</f>
        <v>http://dx.doi.org/10.1016/j.virusres.2016.03.003</v>
      </c>
      <c r="BG403" t="s">
        <v>74</v>
      </c>
      <c r="BH403" t="s">
        <v>74</v>
      </c>
      <c r="BI403" t="s">
        <v>74</v>
      </c>
      <c r="BJ403" t="s">
        <v>401</v>
      </c>
      <c r="BK403" t="s">
        <v>112</v>
      </c>
      <c r="BL403" t="s">
        <v>401</v>
      </c>
      <c r="BM403" t="s">
        <v>74</v>
      </c>
      <c r="BN403">
        <v>26959653</v>
      </c>
      <c r="BO403" t="s">
        <v>74</v>
      </c>
      <c r="BP403" t="s">
        <v>74</v>
      </c>
      <c r="BQ403" t="s">
        <v>74</v>
      </c>
      <c r="BR403" t="s">
        <v>93</v>
      </c>
      <c r="BS403" t="s">
        <v>7836</v>
      </c>
      <c r="BT403" t="str">
        <f>HYPERLINK("https%3A%2F%2Fwww.webofscience.com%2Fwos%2Fwoscc%2Ffull-record%2FWOS:000375498900003","View Full Record in Web of Science")</f>
        <v>View Full Record in Web of Science</v>
      </c>
    </row>
    <row r="404" spans="1:72" x14ac:dyDescent="0.15">
      <c r="A404" t="s">
        <v>72</v>
      </c>
      <c r="B404" t="s">
        <v>7917</v>
      </c>
      <c r="C404" t="s">
        <v>74</v>
      </c>
      <c r="D404" t="s">
        <v>74</v>
      </c>
      <c r="E404" t="s">
        <v>74</v>
      </c>
      <c r="F404" t="s">
        <v>7918</v>
      </c>
      <c r="G404" t="s">
        <v>74</v>
      </c>
      <c r="H404" t="s">
        <v>74</v>
      </c>
      <c r="I404" t="s">
        <v>7919</v>
      </c>
      <c r="J404" t="s">
        <v>7920</v>
      </c>
      <c r="K404" t="s">
        <v>74</v>
      </c>
      <c r="L404" t="s">
        <v>74</v>
      </c>
      <c r="M404" t="s">
        <v>74</v>
      </c>
      <c r="N404" t="s">
        <v>78</v>
      </c>
      <c r="O404" t="s">
        <v>74</v>
      </c>
      <c r="P404" t="s">
        <v>74</v>
      </c>
      <c r="Q404" t="s">
        <v>74</v>
      </c>
      <c r="R404" t="s">
        <v>74</v>
      </c>
      <c r="S404" t="s">
        <v>74</v>
      </c>
      <c r="T404" t="s">
        <v>7921</v>
      </c>
      <c r="U404" t="s">
        <v>7922</v>
      </c>
      <c r="V404" t="s">
        <v>7923</v>
      </c>
      <c r="W404" t="s">
        <v>7924</v>
      </c>
      <c r="X404" t="s">
        <v>7925</v>
      </c>
      <c r="Y404" t="s">
        <v>7926</v>
      </c>
      <c r="Z404" t="s">
        <v>7927</v>
      </c>
      <c r="AA404" t="s">
        <v>6223</v>
      </c>
      <c r="AB404" t="s">
        <v>7928</v>
      </c>
      <c r="AC404" t="s">
        <v>74</v>
      </c>
      <c r="AD404" t="s">
        <v>74</v>
      </c>
      <c r="AE404" t="s">
        <v>74</v>
      </c>
      <c r="AF404" t="s">
        <v>74</v>
      </c>
      <c r="AG404">
        <v>55</v>
      </c>
      <c r="AH404">
        <v>11</v>
      </c>
      <c r="AI404">
        <v>11</v>
      </c>
      <c r="AJ404">
        <v>8</v>
      </c>
      <c r="AK404">
        <v>18</v>
      </c>
      <c r="AL404" t="s">
        <v>74</v>
      </c>
      <c r="AM404" t="s">
        <v>74</v>
      </c>
      <c r="AN404" t="s">
        <v>74</v>
      </c>
      <c r="AO404" t="s">
        <v>7929</v>
      </c>
      <c r="AP404" t="s">
        <v>7930</v>
      </c>
      <c r="AQ404" t="s">
        <v>74</v>
      </c>
      <c r="AR404" t="s">
        <v>74</v>
      </c>
      <c r="AS404" t="s">
        <v>74</v>
      </c>
      <c r="AT404" t="s">
        <v>129</v>
      </c>
      <c r="AU404">
        <v>2020</v>
      </c>
      <c r="AV404">
        <v>123</v>
      </c>
      <c r="AW404" t="s">
        <v>74</v>
      </c>
      <c r="AX404" t="s">
        <v>74</v>
      </c>
      <c r="AY404" t="s">
        <v>74</v>
      </c>
      <c r="AZ404" t="s">
        <v>74</v>
      </c>
      <c r="BA404" t="s">
        <v>74</v>
      </c>
      <c r="BB404">
        <v>31</v>
      </c>
      <c r="BC404">
        <v>38</v>
      </c>
      <c r="BD404" t="s">
        <v>74</v>
      </c>
      <c r="BE404" t="s">
        <v>7931</v>
      </c>
      <c r="BF404" t="str">
        <f>HYPERLINK("http://dx.doi.org/10.1016/j.jpsychires.2020.01.004","http://dx.doi.org/10.1016/j.jpsychires.2020.01.004")</f>
        <v>http://dx.doi.org/10.1016/j.jpsychires.2020.01.004</v>
      </c>
      <c r="BG404" t="s">
        <v>74</v>
      </c>
      <c r="BH404" t="s">
        <v>74</v>
      </c>
      <c r="BI404" t="s">
        <v>74</v>
      </c>
      <c r="BJ404" t="s">
        <v>7932</v>
      </c>
      <c r="BK404" t="s">
        <v>1460</v>
      </c>
      <c r="BL404" t="s">
        <v>7932</v>
      </c>
      <c r="BM404" t="s">
        <v>74</v>
      </c>
      <c r="BN404">
        <v>32028208</v>
      </c>
      <c r="BO404" t="s">
        <v>74</v>
      </c>
      <c r="BP404" t="s">
        <v>74</v>
      </c>
      <c r="BQ404" t="s">
        <v>74</v>
      </c>
      <c r="BR404" t="s">
        <v>93</v>
      </c>
      <c r="BS404" t="s">
        <v>7933</v>
      </c>
      <c r="BT404" t="str">
        <f>HYPERLINK("https%3A%2F%2Fwww.webofscience.com%2Fwos%2Fwoscc%2Ffull-record%2FWOS:000518875600004","View Full Record in Web of Science")</f>
        <v>View Full Record in Web of Science</v>
      </c>
    </row>
    <row r="405" spans="1:72" x14ac:dyDescent="0.15">
      <c r="A405" t="s">
        <v>72</v>
      </c>
      <c r="B405" t="s">
        <v>8625</v>
      </c>
      <c r="C405" t="s">
        <v>74</v>
      </c>
      <c r="D405" t="s">
        <v>74</v>
      </c>
      <c r="E405" t="s">
        <v>74</v>
      </c>
      <c r="F405" t="s">
        <v>8626</v>
      </c>
      <c r="G405" t="s">
        <v>74</v>
      </c>
      <c r="H405" t="s">
        <v>74</v>
      </c>
      <c r="I405" t="s">
        <v>8627</v>
      </c>
      <c r="J405" t="s">
        <v>8628</v>
      </c>
      <c r="K405" t="s">
        <v>74</v>
      </c>
      <c r="L405" t="s">
        <v>74</v>
      </c>
      <c r="M405" t="s">
        <v>74</v>
      </c>
      <c r="N405" t="s">
        <v>78</v>
      </c>
      <c r="O405" t="s">
        <v>74</v>
      </c>
      <c r="P405" t="s">
        <v>74</v>
      </c>
      <c r="Q405" t="s">
        <v>74</v>
      </c>
      <c r="R405" t="s">
        <v>74</v>
      </c>
      <c r="S405" t="s">
        <v>74</v>
      </c>
      <c r="T405" t="s">
        <v>74</v>
      </c>
      <c r="U405" t="s">
        <v>8629</v>
      </c>
      <c r="V405" t="s">
        <v>8630</v>
      </c>
      <c r="W405" t="s">
        <v>8631</v>
      </c>
      <c r="X405" t="s">
        <v>8632</v>
      </c>
      <c r="Y405" t="s">
        <v>8633</v>
      </c>
      <c r="Z405" t="s">
        <v>4807</v>
      </c>
      <c r="AA405" t="s">
        <v>74</v>
      </c>
      <c r="AB405" t="s">
        <v>8634</v>
      </c>
      <c r="AC405" t="s">
        <v>74</v>
      </c>
      <c r="AD405" t="s">
        <v>74</v>
      </c>
      <c r="AE405" t="s">
        <v>74</v>
      </c>
      <c r="AF405" t="s">
        <v>74</v>
      </c>
      <c r="AG405">
        <v>36</v>
      </c>
      <c r="AH405">
        <v>11</v>
      </c>
      <c r="AI405">
        <v>11</v>
      </c>
      <c r="AJ405">
        <v>7</v>
      </c>
      <c r="AK405">
        <v>41</v>
      </c>
      <c r="AL405" t="s">
        <v>74</v>
      </c>
      <c r="AM405" t="s">
        <v>74</v>
      </c>
      <c r="AN405" t="s">
        <v>74</v>
      </c>
      <c r="AO405" t="s">
        <v>8635</v>
      </c>
      <c r="AP405" t="s">
        <v>8636</v>
      </c>
      <c r="AQ405" t="s">
        <v>74</v>
      </c>
      <c r="AR405" t="s">
        <v>74</v>
      </c>
      <c r="AS405" t="s">
        <v>74</v>
      </c>
      <c r="AT405" t="s">
        <v>364</v>
      </c>
      <c r="AU405">
        <v>2018</v>
      </c>
      <c r="AV405">
        <v>6</v>
      </c>
      <c r="AW405">
        <v>9</v>
      </c>
      <c r="AX405" t="s">
        <v>74</v>
      </c>
      <c r="AY405" t="s">
        <v>74</v>
      </c>
      <c r="AZ405" t="s">
        <v>74</v>
      </c>
      <c r="BA405" t="s">
        <v>74</v>
      </c>
      <c r="BB405" t="s">
        <v>74</v>
      </c>
      <c r="BC405" t="s">
        <v>74</v>
      </c>
      <c r="BD405" t="s">
        <v>74</v>
      </c>
      <c r="BE405" t="s">
        <v>8637</v>
      </c>
      <c r="BF405" t="str">
        <f>HYPERLINK("http://dx.doi.org/10.1039/c8bm00629f","http://dx.doi.org/10.1039/c8bm00629f")</f>
        <v>http://dx.doi.org/10.1039/c8bm00629f</v>
      </c>
      <c r="BG405" t="s">
        <v>74</v>
      </c>
      <c r="BH405" t="s">
        <v>74</v>
      </c>
      <c r="BI405" t="s">
        <v>74</v>
      </c>
      <c r="BJ405" t="s">
        <v>8638</v>
      </c>
      <c r="BK405" t="s">
        <v>112</v>
      </c>
      <c r="BL405" t="s">
        <v>8639</v>
      </c>
      <c r="BM405" t="s">
        <v>74</v>
      </c>
      <c r="BN405">
        <v>30022183</v>
      </c>
      <c r="BO405" t="s">
        <v>74</v>
      </c>
      <c r="BP405" t="s">
        <v>74</v>
      </c>
      <c r="BQ405" t="s">
        <v>74</v>
      </c>
      <c r="BR405" t="s">
        <v>93</v>
      </c>
      <c r="BS405" t="s">
        <v>8640</v>
      </c>
      <c r="BT405" t="str">
        <f>HYPERLINK("https%3A%2F%2Fwww.webofscience.com%2Fwos%2Fwoscc%2Ffull-record%2FWOS:000443267300007","View Full Record in Web of Science")</f>
        <v>View Full Record in Web of Science</v>
      </c>
    </row>
    <row r="406" spans="1:72" x14ac:dyDescent="0.15">
      <c r="A406" t="s">
        <v>72</v>
      </c>
      <c r="B406" t="s">
        <v>10919</v>
      </c>
      <c r="C406" t="s">
        <v>74</v>
      </c>
      <c r="D406" t="s">
        <v>74</v>
      </c>
      <c r="E406" t="s">
        <v>74</v>
      </c>
      <c r="F406" t="s">
        <v>10920</v>
      </c>
      <c r="G406" t="s">
        <v>74</v>
      </c>
      <c r="H406" t="s">
        <v>74</v>
      </c>
      <c r="I406" t="s">
        <v>10921</v>
      </c>
      <c r="J406" t="s">
        <v>262</v>
      </c>
      <c r="K406" t="s">
        <v>74</v>
      </c>
      <c r="L406" t="s">
        <v>74</v>
      </c>
      <c r="M406" t="s">
        <v>74</v>
      </c>
      <c r="N406" t="s">
        <v>78</v>
      </c>
      <c r="O406" t="s">
        <v>74</v>
      </c>
      <c r="P406" t="s">
        <v>74</v>
      </c>
      <c r="Q406" t="s">
        <v>74</v>
      </c>
      <c r="R406" t="s">
        <v>74</v>
      </c>
      <c r="S406" t="s">
        <v>74</v>
      </c>
      <c r="T406" t="s">
        <v>10922</v>
      </c>
      <c r="U406" t="s">
        <v>10923</v>
      </c>
      <c r="V406" t="s">
        <v>10924</v>
      </c>
      <c r="W406" t="s">
        <v>10925</v>
      </c>
      <c r="X406" t="s">
        <v>10926</v>
      </c>
      <c r="Y406" t="s">
        <v>10927</v>
      </c>
      <c r="Z406" t="s">
        <v>10928</v>
      </c>
      <c r="AA406" t="s">
        <v>74</v>
      </c>
      <c r="AB406" t="s">
        <v>74</v>
      </c>
      <c r="AC406" t="s">
        <v>74</v>
      </c>
      <c r="AD406" t="s">
        <v>74</v>
      </c>
      <c r="AE406" t="s">
        <v>74</v>
      </c>
      <c r="AF406" t="s">
        <v>74</v>
      </c>
      <c r="AG406">
        <v>43</v>
      </c>
      <c r="AH406">
        <v>11</v>
      </c>
      <c r="AI406">
        <v>12</v>
      </c>
      <c r="AJ406">
        <v>0</v>
      </c>
      <c r="AK406">
        <v>6</v>
      </c>
      <c r="AL406" t="s">
        <v>74</v>
      </c>
      <c r="AM406" t="s">
        <v>74</v>
      </c>
      <c r="AN406" t="s">
        <v>74</v>
      </c>
      <c r="AO406" t="s">
        <v>270</v>
      </c>
      <c r="AP406" t="s">
        <v>74</v>
      </c>
      <c r="AQ406" t="s">
        <v>74</v>
      </c>
      <c r="AR406" t="s">
        <v>74</v>
      </c>
      <c r="AS406" t="s">
        <v>74</v>
      </c>
      <c r="AT406" t="s">
        <v>10929</v>
      </c>
      <c r="AU406">
        <v>2020</v>
      </c>
      <c r="AV406">
        <v>10</v>
      </c>
      <c r="AW406" t="s">
        <v>74</v>
      </c>
      <c r="AX406" t="s">
        <v>74</v>
      </c>
      <c r="AY406" t="s">
        <v>74</v>
      </c>
      <c r="AZ406" t="s">
        <v>74</v>
      </c>
      <c r="BA406" t="s">
        <v>74</v>
      </c>
      <c r="BB406" t="s">
        <v>74</v>
      </c>
      <c r="BC406" t="s">
        <v>74</v>
      </c>
      <c r="BD406">
        <v>1546</v>
      </c>
      <c r="BE406" t="s">
        <v>10930</v>
      </c>
      <c r="BF406" t="str">
        <f>HYPERLINK("http://dx.doi.org/10.3389/fonc.2020.01546","http://dx.doi.org/10.3389/fonc.2020.01546")</f>
        <v>http://dx.doi.org/10.3389/fonc.2020.01546</v>
      </c>
      <c r="BG406" t="s">
        <v>74</v>
      </c>
      <c r="BH406" t="s">
        <v>74</v>
      </c>
      <c r="BI406" t="s">
        <v>74</v>
      </c>
      <c r="BJ406" t="s">
        <v>146</v>
      </c>
      <c r="BK406" t="s">
        <v>112</v>
      </c>
      <c r="BL406" t="s">
        <v>146</v>
      </c>
      <c r="BM406" t="s">
        <v>74</v>
      </c>
      <c r="BN406">
        <v>33014799</v>
      </c>
      <c r="BO406" t="s">
        <v>74</v>
      </c>
      <c r="BP406" t="s">
        <v>74</v>
      </c>
      <c r="BQ406" t="s">
        <v>74</v>
      </c>
      <c r="BR406" t="s">
        <v>93</v>
      </c>
      <c r="BS406" t="s">
        <v>10931</v>
      </c>
      <c r="BT406" t="str">
        <f>HYPERLINK("https%3A%2F%2Fwww.webofscience.com%2Fwos%2Fwoscc%2Ffull-record%2FWOS:000567867200001","View Full Record in Web of Science")</f>
        <v>View Full Record in Web of Science</v>
      </c>
    </row>
    <row r="407" spans="1:72" x14ac:dyDescent="0.15">
      <c r="A407" t="s">
        <v>72</v>
      </c>
      <c r="B407" t="s">
        <v>1024</v>
      </c>
      <c r="C407" t="s">
        <v>74</v>
      </c>
      <c r="D407" t="s">
        <v>74</v>
      </c>
      <c r="E407" t="s">
        <v>74</v>
      </c>
      <c r="F407" t="s">
        <v>1025</v>
      </c>
      <c r="G407" t="s">
        <v>74</v>
      </c>
      <c r="H407" t="s">
        <v>74</v>
      </c>
      <c r="I407" t="s">
        <v>1026</v>
      </c>
      <c r="J407" t="s">
        <v>1027</v>
      </c>
      <c r="K407" t="s">
        <v>74</v>
      </c>
      <c r="L407" t="s">
        <v>74</v>
      </c>
      <c r="M407" t="s">
        <v>74</v>
      </c>
      <c r="N407" t="s">
        <v>78</v>
      </c>
      <c r="O407" t="s">
        <v>74</v>
      </c>
      <c r="P407" t="s">
        <v>74</v>
      </c>
      <c r="Q407" t="s">
        <v>74</v>
      </c>
      <c r="R407" t="s">
        <v>74</v>
      </c>
      <c r="S407" t="s">
        <v>74</v>
      </c>
      <c r="T407" t="s">
        <v>1028</v>
      </c>
      <c r="U407" t="s">
        <v>1029</v>
      </c>
      <c r="V407" t="s">
        <v>1030</v>
      </c>
      <c r="W407" t="s">
        <v>1031</v>
      </c>
      <c r="X407" t="s">
        <v>1032</v>
      </c>
      <c r="Y407" t="s">
        <v>1033</v>
      </c>
      <c r="Z407" t="s">
        <v>1034</v>
      </c>
      <c r="AA407" t="s">
        <v>74</v>
      </c>
      <c r="AB407" t="s">
        <v>74</v>
      </c>
      <c r="AC407" t="s">
        <v>74</v>
      </c>
      <c r="AD407" t="s">
        <v>74</v>
      </c>
      <c r="AE407" t="s">
        <v>74</v>
      </c>
      <c r="AF407" t="s">
        <v>74</v>
      </c>
      <c r="AG407">
        <v>44</v>
      </c>
      <c r="AH407">
        <v>10</v>
      </c>
      <c r="AI407">
        <v>10</v>
      </c>
      <c r="AJ407">
        <v>3</v>
      </c>
      <c r="AK407">
        <v>11</v>
      </c>
      <c r="AL407" t="s">
        <v>74</v>
      </c>
      <c r="AM407" t="s">
        <v>74</v>
      </c>
      <c r="AN407" t="s">
        <v>74</v>
      </c>
      <c r="AO407" t="s">
        <v>74</v>
      </c>
      <c r="AP407" t="s">
        <v>1035</v>
      </c>
      <c r="AQ407" t="s">
        <v>74</v>
      </c>
      <c r="AR407" t="s">
        <v>74</v>
      </c>
      <c r="AS407" t="s">
        <v>74</v>
      </c>
      <c r="AT407" t="s">
        <v>1036</v>
      </c>
      <c r="AU407">
        <v>2019</v>
      </c>
      <c r="AV407">
        <v>12</v>
      </c>
      <c r="AW407">
        <v>1</v>
      </c>
      <c r="AX407" t="s">
        <v>74</v>
      </c>
      <c r="AY407" t="s">
        <v>74</v>
      </c>
      <c r="AZ407" t="s">
        <v>74</v>
      </c>
      <c r="BA407" t="s">
        <v>74</v>
      </c>
      <c r="BB407" t="s">
        <v>74</v>
      </c>
      <c r="BC407" t="s">
        <v>74</v>
      </c>
      <c r="BD407">
        <v>151</v>
      </c>
      <c r="BE407" t="s">
        <v>1037</v>
      </c>
      <c r="BF407" t="str">
        <f>HYPERLINK("http://dx.doi.org/10.1186/s12920-019-0590-8","http://dx.doi.org/10.1186/s12920-019-0590-8")</f>
        <v>http://dx.doi.org/10.1186/s12920-019-0590-8</v>
      </c>
      <c r="BG407" t="s">
        <v>74</v>
      </c>
      <c r="BH407" t="s">
        <v>74</v>
      </c>
      <c r="BI407" t="s">
        <v>74</v>
      </c>
      <c r="BJ407" t="s">
        <v>349</v>
      </c>
      <c r="BK407" t="s">
        <v>112</v>
      </c>
      <c r="BL407" t="s">
        <v>349</v>
      </c>
      <c r="BM407" t="s">
        <v>74</v>
      </c>
      <c r="BN407">
        <v>31684971</v>
      </c>
      <c r="BO407" t="s">
        <v>74</v>
      </c>
      <c r="BP407" t="s">
        <v>74</v>
      </c>
      <c r="BQ407" t="s">
        <v>74</v>
      </c>
      <c r="BR407" t="s">
        <v>93</v>
      </c>
      <c r="BS407" t="s">
        <v>1038</v>
      </c>
      <c r="BT407" t="str">
        <f>HYPERLINK("https%3A%2F%2Fwww.webofscience.com%2Fwos%2Fwoscc%2Ffull-record%2FWOS:000494467900001","View Full Record in Web of Science")</f>
        <v>View Full Record in Web of Science</v>
      </c>
    </row>
    <row r="408" spans="1:72" x14ac:dyDescent="0.15">
      <c r="A408" t="s">
        <v>312</v>
      </c>
      <c r="B408" t="s">
        <v>1476</v>
      </c>
      <c r="C408" t="s">
        <v>74</v>
      </c>
      <c r="D408" t="s">
        <v>1477</v>
      </c>
      <c r="E408" t="s">
        <v>74</v>
      </c>
      <c r="F408" t="s">
        <v>1478</v>
      </c>
      <c r="G408" t="s">
        <v>74</v>
      </c>
      <c r="H408" t="s">
        <v>74</v>
      </c>
      <c r="I408" t="s">
        <v>1479</v>
      </c>
      <c r="J408" t="s">
        <v>1480</v>
      </c>
      <c r="K408" t="s">
        <v>318</v>
      </c>
      <c r="L408" t="s">
        <v>74</v>
      </c>
      <c r="M408" t="s">
        <v>74</v>
      </c>
      <c r="N408" t="s">
        <v>319</v>
      </c>
      <c r="O408" t="s">
        <v>74</v>
      </c>
      <c r="P408" t="s">
        <v>74</v>
      </c>
      <c r="Q408" t="s">
        <v>74</v>
      </c>
      <c r="R408" t="s">
        <v>74</v>
      </c>
      <c r="S408" t="s">
        <v>74</v>
      </c>
      <c r="T408" t="s">
        <v>1481</v>
      </c>
      <c r="U408" t="s">
        <v>1482</v>
      </c>
      <c r="V408" t="s">
        <v>1483</v>
      </c>
      <c r="W408" t="s">
        <v>1484</v>
      </c>
      <c r="X408" t="s">
        <v>1485</v>
      </c>
      <c r="Y408" t="s">
        <v>1486</v>
      </c>
      <c r="Z408" t="s">
        <v>74</v>
      </c>
      <c r="AA408" t="s">
        <v>1487</v>
      </c>
      <c r="AB408" t="s">
        <v>1488</v>
      </c>
      <c r="AC408" t="s">
        <v>74</v>
      </c>
      <c r="AD408" t="s">
        <v>74</v>
      </c>
      <c r="AE408" t="s">
        <v>74</v>
      </c>
      <c r="AF408" t="s">
        <v>74</v>
      </c>
      <c r="AG408">
        <v>62</v>
      </c>
      <c r="AH408">
        <v>10</v>
      </c>
      <c r="AI408">
        <v>11</v>
      </c>
      <c r="AJ408">
        <v>0</v>
      </c>
      <c r="AK408">
        <v>6</v>
      </c>
      <c r="AL408" t="s">
        <v>74</v>
      </c>
      <c r="AM408" t="s">
        <v>74</v>
      </c>
      <c r="AN408" t="s">
        <v>74</v>
      </c>
      <c r="AO408" t="s">
        <v>328</v>
      </c>
      <c r="AP408" t="s">
        <v>329</v>
      </c>
      <c r="AQ408" t="s">
        <v>1489</v>
      </c>
      <c r="AR408" t="s">
        <v>74</v>
      </c>
      <c r="AS408" t="s">
        <v>74</v>
      </c>
      <c r="AT408" t="s">
        <v>74</v>
      </c>
      <c r="AU408">
        <v>2017</v>
      </c>
      <c r="AV408">
        <v>1660</v>
      </c>
      <c r="AW408" t="s">
        <v>74</v>
      </c>
      <c r="AX408" t="s">
        <v>74</v>
      </c>
      <c r="AY408" t="s">
        <v>74</v>
      </c>
      <c r="AZ408" t="s">
        <v>74</v>
      </c>
      <c r="BA408" t="s">
        <v>74</v>
      </c>
      <c r="BB408">
        <v>1</v>
      </c>
      <c r="BC408">
        <v>14</v>
      </c>
      <c r="BD408" t="s">
        <v>74</v>
      </c>
      <c r="BE408" t="s">
        <v>1490</v>
      </c>
      <c r="BF408" t="str">
        <f>HYPERLINK("http://dx.doi.org/10.1007/978-1-4939-7253-1_1","http://dx.doi.org/10.1007/978-1-4939-7253-1_1")</f>
        <v>http://dx.doi.org/10.1007/978-1-4939-7253-1_1</v>
      </c>
      <c r="BG408" t="s">
        <v>1491</v>
      </c>
      <c r="BH408" t="s">
        <v>74</v>
      </c>
      <c r="BI408" t="s">
        <v>74</v>
      </c>
      <c r="BJ408" t="s">
        <v>1492</v>
      </c>
      <c r="BK408" t="s">
        <v>334</v>
      </c>
      <c r="BL408" t="s">
        <v>1493</v>
      </c>
      <c r="BM408" t="s">
        <v>74</v>
      </c>
      <c r="BN408">
        <v>28828643</v>
      </c>
      <c r="BO408" t="s">
        <v>74</v>
      </c>
      <c r="BP408" t="s">
        <v>74</v>
      </c>
      <c r="BQ408" t="s">
        <v>74</v>
      </c>
      <c r="BR408" t="s">
        <v>93</v>
      </c>
      <c r="BS408" t="s">
        <v>1494</v>
      </c>
      <c r="BT408" t="str">
        <f>HYPERLINK("https%3A%2F%2Fwww.webofscience.com%2Fwos%2Fwoscc%2Ffull-record%2FWOS:000429457100002","View Full Record in Web of Science")</f>
        <v>View Full Record in Web of Science</v>
      </c>
    </row>
    <row r="409" spans="1:72" x14ac:dyDescent="0.15">
      <c r="A409" t="s">
        <v>72</v>
      </c>
      <c r="B409" t="s">
        <v>1524</v>
      </c>
      <c r="C409" t="s">
        <v>74</v>
      </c>
      <c r="D409" t="s">
        <v>74</v>
      </c>
      <c r="E409" t="s">
        <v>74</v>
      </c>
      <c r="F409" t="s">
        <v>1525</v>
      </c>
      <c r="G409" t="s">
        <v>74</v>
      </c>
      <c r="H409" t="s">
        <v>74</v>
      </c>
      <c r="I409" t="s">
        <v>1526</v>
      </c>
      <c r="J409" t="s">
        <v>1527</v>
      </c>
      <c r="K409" t="s">
        <v>74</v>
      </c>
      <c r="L409" t="s">
        <v>74</v>
      </c>
      <c r="M409" t="s">
        <v>74</v>
      </c>
      <c r="N409" t="s">
        <v>78</v>
      </c>
      <c r="O409" t="s">
        <v>74</v>
      </c>
      <c r="P409" t="s">
        <v>74</v>
      </c>
      <c r="Q409" t="s">
        <v>74</v>
      </c>
      <c r="R409" t="s">
        <v>74</v>
      </c>
      <c r="S409" t="s">
        <v>74</v>
      </c>
      <c r="T409" t="s">
        <v>1528</v>
      </c>
      <c r="U409" t="s">
        <v>1529</v>
      </c>
      <c r="V409" t="s">
        <v>1530</v>
      </c>
      <c r="W409" t="s">
        <v>1531</v>
      </c>
      <c r="X409" t="s">
        <v>1532</v>
      </c>
      <c r="Y409" t="s">
        <v>1533</v>
      </c>
      <c r="Z409" t="s">
        <v>1534</v>
      </c>
      <c r="AA409" t="s">
        <v>1535</v>
      </c>
      <c r="AB409" t="s">
        <v>1536</v>
      </c>
      <c r="AC409" t="s">
        <v>74</v>
      </c>
      <c r="AD409" t="s">
        <v>74</v>
      </c>
      <c r="AE409" t="s">
        <v>74</v>
      </c>
      <c r="AF409" t="s">
        <v>74</v>
      </c>
      <c r="AG409">
        <v>32</v>
      </c>
      <c r="AH409">
        <v>10</v>
      </c>
      <c r="AI409">
        <v>10</v>
      </c>
      <c r="AJ409">
        <v>4</v>
      </c>
      <c r="AK409">
        <v>37</v>
      </c>
      <c r="AL409" t="s">
        <v>74</v>
      </c>
      <c r="AM409" t="s">
        <v>74</v>
      </c>
      <c r="AN409" t="s">
        <v>74</v>
      </c>
      <c r="AO409" t="s">
        <v>1537</v>
      </c>
      <c r="AP409" t="s">
        <v>1538</v>
      </c>
      <c r="AQ409" t="s">
        <v>74</v>
      </c>
      <c r="AR409" t="s">
        <v>74</v>
      </c>
      <c r="AS409" t="s">
        <v>74</v>
      </c>
      <c r="AT409" t="s">
        <v>1539</v>
      </c>
      <c r="AU409">
        <v>2020</v>
      </c>
      <c r="AV409">
        <v>22</v>
      </c>
      <c r="AW409">
        <v>2</v>
      </c>
      <c r="AX409" t="s">
        <v>74</v>
      </c>
      <c r="AY409" t="s">
        <v>74</v>
      </c>
      <c r="AZ409" t="s">
        <v>74</v>
      </c>
      <c r="BA409" t="s">
        <v>74</v>
      </c>
      <c r="BB409" t="s">
        <v>74</v>
      </c>
      <c r="BC409" t="s">
        <v>74</v>
      </c>
      <c r="BD409">
        <v>23</v>
      </c>
      <c r="BE409" t="s">
        <v>1540</v>
      </c>
      <c r="BF409" t="str">
        <f>HYPERLINK("http://dx.doi.org/10.1007/s10544-020-00483-7","http://dx.doi.org/10.1007/s10544-020-00483-7")</f>
        <v>http://dx.doi.org/10.1007/s10544-020-00483-7</v>
      </c>
      <c r="BG409" t="s">
        <v>74</v>
      </c>
      <c r="BH409" t="s">
        <v>74</v>
      </c>
      <c r="BI409" t="s">
        <v>74</v>
      </c>
      <c r="BJ409" t="s">
        <v>1541</v>
      </c>
      <c r="BK409" t="s">
        <v>112</v>
      </c>
      <c r="BL409" t="s">
        <v>1542</v>
      </c>
      <c r="BM409" t="s">
        <v>74</v>
      </c>
      <c r="BN409">
        <v>32162067</v>
      </c>
      <c r="BO409" t="s">
        <v>74</v>
      </c>
      <c r="BP409" t="s">
        <v>74</v>
      </c>
      <c r="BQ409" t="s">
        <v>74</v>
      </c>
      <c r="BR409" t="s">
        <v>93</v>
      </c>
      <c r="BS409" t="s">
        <v>1543</v>
      </c>
      <c r="BT409" t="str">
        <f>HYPERLINK("https%3A%2F%2Fwww.webofscience.com%2Fwos%2Fwoscc%2Ffull-record%2FWOS:000519158300001","View Full Record in Web of Science")</f>
        <v>View Full Record in Web of Science</v>
      </c>
    </row>
    <row r="410" spans="1:72" x14ac:dyDescent="0.15">
      <c r="A410" t="s">
        <v>72</v>
      </c>
      <c r="B410" t="s">
        <v>2202</v>
      </c>
      <c r="C410" t="s">
        <v>74</v>
      </c>
      <c r="D410" t="s">
        <v>74</v>
      </c>
      <c r="E410" t="s">
        <v>74</v>
      </c>
      <c r="F410" t="s">
        <v>2203</v>
      </c>
      <c r="G410" t="s">
        <v>74</v>
      </c>
      <c r="H410" t="s">
        <v>74</v>
      </c>
      <c r="I410" t="s">
        <v>2204</v>
      </c>
      <c r="J410" t="s">
        <v>406</v>
      </c>
      <c r="K410" t="s">
        <v>74</v>
      </c>
      <c r="L410" t="s">
        <v>74</v>
      </c>
      <c r="M410" t="s">
        <v>74</v>
      </c>
      <c r="N410" t="s">
        <v>78</v>
      </c>
      <c r="O410" t="s">
        <v>74</v>
      </c>
      <c r="P410" t="s">
        <v>74</v>
      </c>
      <c r="Q410" t="s">
        <v>74</v>
      </c>
      <c r="R410" t="s">
        <v>74</v>
      </c>
      <c r="S410" t="s">
        <v>74</v>
      </c>
      <c r="T410" t="s">
        <v>2205</v>
      </c>
      <c r="U410" t="s">
        <v>2206</v>
      </c>
      <c r="V410" t="s">
        <v>2207</v>
      </c>
      <c r="W410" t="s">
        <v>2208</v>
      </c>
      <c r="X410" t="s">
        <v>2209</v>
      </c>
      <c r="Y410" t="s">
        <v>2210</v>
      </c>
      <c r="Z410" t="s">
        <v>2211</v>
      </c>
      <c r="AA410" t="s">
        <v>2212</v>
      </c>
      <c r="AB410" t="s">
        <v>2213</v>
      </c>
      <c r="AC410" t="s">
        <v>74</v>
      </c>
      <c r="AD410" t="s">
        <v>74</v>
      </c>
      <c r="AE410" t="s">
        <v>74</v>
      </c>
      <c r="AF410" t="s">
        <v>74</v>
      </c>
      <c r="AG410">
        <v>82</v>
      </c>
      <c r="AH410">
        <v>10</v>
      </c>
      <c r="AI410">
        <v>10</v>
      </c>
      <c r="AJ410">
        <v>7</v>
      </c>
      <c r="AK410">
        <v>17</v>
      </c>
      <c r="AL410" t="s">
        <v>74</v>
      </c>
      <c r="AM410" t="s">
        <v>74</v>
      </c>
      <c r="AN410" t="s">
        <v>74</v>
      </c>
      <c r="AO410" t="s">
        <v>74</v>
      </c>
      <c r="AP410" t="s">
        <v>416</v>
      </c>
      <c r="AQ410" t="s">
        <v>74</v>
      </c>
      <c r="AR410" t="s">
        <v>74</v>
      </c>
      <c r="AS410" t="s">
        <v>74</v>
      </c>
      <c r="AT410" t="s">
        <v>88</v>
      </c>
      <c r="AU410">
        <v>2021</v>
      </c>
      <c r="AV410">
        <v>10</v>
      </c>
      <c r="AW410">
        <v>8</v>
      </c>
      <c r="AX410" t="s">
        <v>74</v>
      </c>
      <c r="AY410" t="s">
        <v>74</v>
      </c>
      <c r="AZ410" t="s">
        <v>74</v>
      </c>
      <c r="BA410" t="s">
        <v>74</v>
      </c>
      <c r="BB410" t="s">
        <v>74</v>
      </c>
      <c r="BC410" t="s">
        <v>74</v>
      </c>
      <c r="BD410" t="s">
        <v>2214</v>
      </c>
      <c r="BE410" t="s">
        <v>2215</v>
      </c>
      <c r="BF410" t="str">
        <f>HYPERLINK("http://dx.doi.org/10.1002/jev2.12110","http://dx.doi.org/10.1002/jev2.12110")</f>
        <v>http://dx.doi.org/10.1002/jev2.12110</v>
      </c>
      <c r="BG410" t="s">
        <v>74</v>
      </c>
      <c r="BH410" t="s">
        <v>74</v>
      </c>
      <c r="BI410" t="s">
        <v>74</v>
      </c>
      <c r="BJ410" t="s">
        <v>419</v>
      </c>
      <c r="BK410" t="s">
        <v>112</v>
      </c>
      <c r="BL410" t="s">
        <v>419</v>
      </c>
      <c r="BM410" t="s">
        <v>74</v>
      </c>
      <c r="BN410">
        <v>34122779</v>
      </c>
      <c r="BO410" t="s">
        <v>74</v>
      </c>
      <c r="BP410" t="s">
        <v>74</v>
      </c>
      <c r="BQ410" t="s">
        <v>74</v>
      </c>
      <c r="BR410" t="s">
        <v>93</v>
      </c>
      <c r="BS410" t="s">
        <v>2216</v>
      </c>
      <c r="BT410" t="str">
        <f>HYPERLINK("https%3A%2F%2Fwww.webofscience.com%2Fwos%2Fwoscc%2Ffull-record%2FWOS:000657328100001","View Full Record in Web of Science")</f>
        <v>View Full Record in Web of Science</v>
      </c>
    </row>
    <row r="411" spans="1:72" x14ac:dyDescent="0.15">
      <c r="A411" t="s">
        <v>72</v>
      </c>
      <c r="B411" t="s">
        <v>2217</v>
      </c>
      <c r="C411" t="s">
        <v>74</v>
      </c>
      <c r="D411" t="s">
        <v>74</v>
      </c>
      <c r="E411" t="s">
        <v>74</v>
      </c>
      <c r="F411" t="s">
        <v>2218</v>
      </c>
      <c r="G411" t="s">
        <v>74</v>
      </c>
      <c r="H411" t="s">
        <v>74</v>
      </c>
      <c r="I411" t="s">
        <v>2219</v>
      </c>
      <c r="J411" t="s">
        <v>844</v>
      </c>
      <c r="K411" t="s">
        <v>74</v>
      </c>
      <c r="L411" t="s">
        <v>74</v>
      </c>
      <c r="M411" t="s">
        <v>74</v>
      </c>
      <c r="N411" t="s">
        <v>78</v>
      </c>
      <c r="O411" t="s">
        <v>74</v>
      </c>
      <c r="P411" t="s">
        <v>74</v>
      </c>
      <c r="Q411" t="s">
        <v>74</v>
      </c>
      <c r="R411" t="s">
        <v>74</v>
      </c>
      <c r="S411" t="s">
        <v>74</v>
      </c>
      <c r="T411" t="s">
        <v>2220</v>
      </c>
      <c r="U411" t="s">
        <v>2221</v>
      </c>
      <c r="V411" t="s">
        <v>2222</v>
      </c>
      <c r="W411" t="s">
        <v>2223</v>
      </c>
      <c r="X411" t="s">
        <v>2224</v>
      </c>
      <c r="Y411" t="s">
        <v>2225</v>
      </c>
      <c r="Z411" t="s">
        <v>2226</v>
      </c>
      <c r="AA411" t="s">
        <v>2227</v>
      </c>
      <c r="AB411" t="s">
        <v>2228</v>
      </c>
      <c r="AC411" t="s">
        <v>74</v>
      </c>
      <c r="AD411" t="s">
        <v>74</v>
      </c>
      <c r="AE411" t="s">
        <v>74</v>
      </c>
      <c r="AF411" t="s">
        <v>74</v>
      </c>
      <c r="AG411">
        <v>51</v>
      </c>
      <c r="AH411">
        <v>10</v>
      </c>
      <c r="AI411">
        <v>10</v>
      </c>
      <c r="AJ411">
        <v>0</v>
      </c>
      <c r="AK411">
        <v>3</v>
      </c>
      <c r="AL411" t="s">
        <v>74</v>
      </c>
      <c r="AM411" t="s">
        <v>74</v>
      </c>
      <c r="AN411" t="s">
        <v>74</v>
      </c>
      <c r="AO411" t="s">
        <v>852</v>
      </c>
      <c r="AP411" t="s">
        <v>74</v>
      </c>
      <c r="AQ411" t="s">
        <v>74</v>
      </c>
      <c r="AR411" t="s">
        <v>74</v>
      </c>
      <c r="AS411" t="s">
        <v>74</v>
      </c>
      <c r="AT411" t="s">
        <v>2229</v>
      </c>
      <c r="AU411">
        <v>2020</v>
      </c>
      <c r="AV411">
        <v>8</v>
      </c>
      <c r="AW411" t="s">
        <v>74</v>
      </c>
      <c r="AX411" t="s">
        <v>74</v>
      </c>
      <c r="AY411" t="s">
        <v>74</v>
      </c>
      <c r="AZ411" t="s">
        <v>74</v>
      </c>
      <c r="BA411" t="s">
        <v>74</v>
      </c>
      <c r="BB411" t="s">
        <v>74</v>
      </c>
      <c r="BC411" t="s">
        <v>74</v>
      </c>
      <c r="BD411">
        <v>581882</v>
      </c>
      <c r="BE411" t="s">
        <v>2230</v>
      </c>
      <c r="BF411" t="str">
        <f>HYPERLINK("http://dx.doi.org/10.3389/fcell.2020.581882","http://dx.doi.org/10.3389/fcell.2020.581882")</f>
        <v>http://dx.doi.org/10.3389/fcell.2020.581882</v>
      </c>
      <c r="BG411" t="s">
        <v>74</v>
      </c>
      <c r="BH411" t="s">
        <v>74</v>
      </c>
      <c r="BI411" t="s">
        <v>74</v>
      </c>
      <c r="BJ411" t="s">
        <v>855</v>
      </c>
      <c r="BK411" t="s">
        <v>112</v>
      </c>
      <c r="BL411" t="s">
        <v>855</v>
      </c>
      <c r="BM411" t="s">
        <v>74</v>
      </c>
      <c r="BN411">
        <v>33304899</v>
      </c>
      <c r="BO411" t="s">
        <v>74</v>
      </c>
      <c r="BP411" t="s">
        <v>74</v>
      </c>
      <c r="BQ411" t="s">
        <v>74</v>
      </c>
      <c r="BR411" t="s">
        <v>93</v>
      </c>
      <c r="BS411" t="s">
        <v>2231</v>
      </c>
      <c r="BT411" t="str">
        <f>HYPERLINK("https%3A%2F%2Fwww.webofscience.com%2Fwos%2Fwoscc%2Ffull-record%2FWOS:000593926900001","View Full Record in Web of Science")</f>
        <v>View Full Record in Web of Science</v>
      </c>
    </row>
    <row r="412" spans="1:72" x14ac:dyDescent="0.15">
      <c r="A412" t="s">
        <v>72</v>
      </c>
      <c r="B412" t="s">
        <v>3096</v>
      </c>
      <c r="C412" t="s">
        <v>74</v>
      </c>
      <c r="D412" t="s">
        <v>74</v>
      </c>
      <c r="E412" t="s">
        <v>74</v>
      </c>
      <c r="F412" t="s">
        <v>3097</v>
      </c>
      <c r="G412" t="s">
        <v>74</v>
      </c>
      <c r="H412" t="s">
        <v>74</v>
      </c>
      <c r="I412" t="s">
        <v>3098</v>
      </c>
      <c r="J412" t="s">
        <v>3099</v>
      </c>
      <c r="K412" t="s">
        <v>74</v>
      </c>
      <c r="L412" t="s">
        <v>74</v>
      </c>
      <c r="M412" t="s">
        <v>74</v>
      </c>
      <c r="N412" t="s">
        <v>78</v>
      </c>
      <c r="O412" t="s">
        <v>74</v>
      </c>
      <c r="P412" t="s">
        <v>74</v>
      </c>
      <c r="Q412" t="s">
        <v>74</v>
      </c>
      <c r="R412" t="s">
        <v>74</v>
      </c>
      <c r="S412" t="s">
        <v>74</v>
      </c>
      <c r="T412" t="s">
        <v>3100</v>
      </c>
      <c r="U412" t="s">
        <v>3101</v>
      </c>
      <c r="V412" t="s">
        <v>3102</v>
      </c>
      <c r="W412" t="s">
        <v>3103</v>
      </c>
      <c r="X412" t="s">
        <v>3104</v>
      </c>
      <c r="Y412" t="s">
        <v>3105</v>
      </c>
      <c r="Z412" t="s">
        <v>3106</v>
      </c>
      <c r="AA412" t="s">
        <v>3107</v>
      </c>
      <c r="AB412" t="s">
        <v>3108</v>
      </c>
      <c r="AC412" t="s">
        <v>74</v>
      </c>
      <c r="AD412" t="s">
        <v>74</v>
      </c>
      <c r="AE412" t="s">
        <v>74</v>
      </c>
      <c r="AF412" t="s">
        <v>74</v>
      </c>
      <c r="AG412">
        <v>36</v>
      </c>
      <c r="AH412">
        <v>10</v>
      </c>
      <c r="AI412">
        <v>11</v>
      </c>
      <c r="AJ412">
        <v>0</v>
      </c>
      <c r="AK412">
        <v>9</v>
      </c>
      <c r="AL412" t="s">
        <v>74</v>
      </c>
      <c r="AM412" t="s">
        <v>74</v>
      </c>
      <c r="AN412" t="s">
        <v>74</v>
      </c>
      <c r="AO412" t="s">
        <v>3109</v>
      </c>
      <c r="AP412" t="s">
        <v>74</v>
      </c>
      <c r="AQ412" t="s">
        <v>74</v>
      </c>
      <c r="AR412" t="s">
        <v>74</v>
      </c>
      <c r="AS412" t="s">
        <v>74</v>
      </c>
      <c r="AT412" t="s">
        <v>3110</v>
      </c>
      <c r="AU412">
        <v>2019</v>
      </c>
      <c r="AV412">
        <v>13</v>
      </c>
      <c r="AW412" t="s">
        <v>74</v>
      </c>
      <c r="AX412" t="s">
        <v>74</v>
      </c>
      <c r="AY412" t="s">
        <v>74</v>
      </c>
      <c r="AZ412" t="s">
        <v>74</v>
      </c>
      <c r="BA412" t="s">
        <v>74</v>
      </c>
      <c r="BB412" t="s">
        <v>74</v>
      </c>
      <c r="BC412" t="s">
        <v>74</v>
      </c>
      <c r="BD412">
        <v>199</v>
      </c>
      <c r="BE412" t="s">
        <v>3111</v>
      </c>
      <c r="BF412" t="str">
        <f>HYPERLINK("http://dx.doi.org/10.3389/fncel.2019.00199","http://dx.doi.org/10.3389/fncel.2019.00199")</f>
        <v>http://dx.doi.org/10.3389/fncel.2019.00199</v>
      </c>
      <c r="BG412" t="s">
        <v>74</v>
      </c>
      <c r="BH412" t="s">
        <v>74</v>
      </c>
      <c r="BI412" t="s">
        <v>74</v>
      </c>
      <c r="BJ412" t="s">
        <v>2753</v>
      </c>
      <c r="BK412" t="s">
        <v>112</v>
      </c>
      <c r="BL412" t="s">
        <v>2407</v>
      </c>
      <c r="BM412" t="s">
        <v>74</v>
      </c>
      <c r="BN412">
        <v>31133815</v>
      </c>
      <c r="BO412" t="s">
        <v>74</v>
      </c>
      <c r="BP412" t="s">
        <v>74</v>
      </c>
      <c r="BQ412" t="s">
        <v>74</v>
      </c>
      <c r="BR412" t="s">
        <v>93</v>
      </c>
      <c r="BS412" t="s">
        <v>3112</v>
      </c>
      <c r="BT412" t="str">
        <f>HYPERLINK("https%3A%2F%2Fwww.webofscience.com%2Fwos%2Fwoscc%2Ffull-record%2FWOS:000467477900003","View Full Record in Web of Science")</f>
        <v>View Full Record in Web of Science</v>
      </c>
    </row>
    <row r="413" spans="1:72" x14ac:dyDescent="0.15">
      <c r="A413" t="s">
        <v>72</v>
      </c>
      <c r="B413" t="s">
        <v>4185</v>
      </c>
      <c r="C413" t="s">
        <v>74</v>
      </c>
      <c r="D413" t="s">
        <v>74</v>
      </c>
      <c r="E413" t="s">
        <v>74</v>
      </c>
      <c r="F413" t="s">
        <v>4186</v>
      </c>
      <c r="G413" t="s">
        <v>74</v>
      </c>
      <c r="H413" t="s">
        <v>74</v>
      </c>
      <c r="I413" t="s">
        <v>4187</v>
      </c>
      <c r="J413" t="s">
        <v>4188</v>
      </c>
      <c r="K413" t="s">
        <v>74</v>
      </c>
      <c r="L413" t="s">
        <v>74</v>
      </c>
      <c r="M413" t="s">
        <v>74</v>
      </c>
      <c r="N413" t="s">
        <v>78</v>
      </c>
      <c r="O413" t="s">
        <v>74</v>
      </c>
      <c r="P413" t="s">
        <v>74</v>
      </c>
      <c r="Q413" t="s">
        <v>74</v>
      </c>
      <c r="R413" t="s">
        <v>74</v>
      </c>
      <c r="S413" t="s">
        <v>74</v>
      </c>
      <c r="T413" t="s">
        <v>4189</v>
      </c>
      <c r="U413" t="s">
        <v>4190</v>
      </c>
      <c r="V413" t="s">
        <v>4191</v>
      </c>
      <c r="W413" t="s">
        <v>4192</v>
      </c>
      <c r="X413" t="s">
        <v>74</v>
      </c>
      <c r="Y413" t="s">
        <v>4193</v>
      </c>
      <c r="Z413" t="s">
        <v>4194</v>
      </c>
      <c r="AA413" t="s">
        <v>74</v>
      </c>
      <c r="AB413" t="s">
        <v>4195</v>
      </c>
      <c r="AC413" t="s">
        <v>74</v>
      </c>
      <c r="AD413" t="s">
        <v>74</v>
      </c>
      <c r="AE413" t="s">
        <v>74</v>
      </c>
      <c r="AF413" t="s">
        <v>74</v>
      </c>
      <c r="AG413">
        <v>126</v>
      </c>
      <c r="AH413">
        <v>10</v>
      </c>
      <c r="AI413">
        <v>10</v>
      </c>
      <c r="AJ413">
        <v>3</v>
      </c>
      <c r="AK413">
        <v>7</v>
      </c>
      <c r="AL413" t="s">
        <v>74</v>
      </c>
      <c r="AM413" t="s">
        <v>74</v>
      </c>
      <c r="AN413" t="s">
        <v>74</v>
      </c>
      <c r="AO413" t="s">
        <v>74</v>
      </c>
      <c r="AP413" t="s">
        <v>4196</v>
      </c>
      <c r="AQ413" t="s">
        <v>74</v>
      </c>
      <c r="AR413" t="s">
        <v>74</v>
      </c>
      <c r="AS413" t="s">
        <v>74</v>
      </c>
      <c r="AT413" t="s">
        <v>640</v>
      </c>
      <c r="AU413">
        <v>2021</v>
      </c>
      <c r="AV413">
        <v>10</v>
      </c>
      <c r="AW413">
        <v>2</v>
      </c>
      <c r="AX413" t="s">
        <v>74</v>
      </c>
      <c r="AY413" t="s">
        <v>74</v>
      </c>
      <c r="AZ413" t="s">
        <v>74</v>
      </c>
      <c r="BA413" t="s">
        <v>74</v>
      </c>
      <c r="BB413" t="s">
        <v>74</v>
      </c>
      <c r="BC413" t="s">
        <v>74</v>
      </c>
      <c r="BD413">
        <v>156</v>
      </c>
      <c r="BE413" t="s">
        <v>4197</v>
      </c>
      <c r="BF413" t="str">
        <f>HYPERLINK("http://dx.doi.org/10.3390/antiox10020156","http://dx.doi.org/10.3390/antiox10020156")</f>
        <v>http://dx.doi.org/10.3390/antiox10020156</v>
      </c>
      <c r="BG413" t="s">
        <v>74</v>
      </c>
      <c r="BH413" t="s">
        <v>74</v>
      </c>
      <c r="BI413" t="s">
        <v>74</v>
      </c>
      <c r="BJ413" t="s">
        <v>4198</v>
      </c>
      <c r="BK413" t="s">
        <v>112</v>
      </c>
      <c r="BL413" t="s">
        <v>4199</v>
      </c>
      <c r="BM413" t="s">
        <v>74</v>
      </c>
      <c r="BN413">
        <v>33494540</v>
      </c>
      <c r="BO413" t="s">
        <v>74</v>
      </c>
      <c r="BP413" t="s">
        <v>74</v>
      </c>
      <c r="BQ413" t="s">
        <v>74</v>
      </c>
      <c r="BR413" t="s">
        <v>93</v>
      </c>
      <c r="BS413" t="s">
        <v>4200</v>
      </c>
      <c r="BT413" t="str">
        <f>HYPERLINK("https%3A%2F%2Fwww.webofscience.com%2Fwos%2Fwoscc%2Ffull-record%2FWOS:000622007300001","View Full Record in Web of Science")</f>
        <v>View Full Record in Web of Science</v>
      </c>
    </row>
    <row r="414" spans="1:72" x14ac:dyDescent="0.15">
      <c r="A414" t="s">
        <v>72</v>
      </c>
      <c r="B414" t="s">
        <v>4287</v>
      </c>
      <c r="C414" t="s">
        <v>74</v>
      </c>
      <c r="D414" t="s">
        <v>74</v>
      </c>
      <c r="E414" t="s">
        <v>74</v>
      </c>
      <c r="F414" t="s">
        <v>4288</v>
      </c>
      <c r="G414" t="s">
        <v>74</v>
      </c>
      <c r="H414" t="s">
        <v>74</v>
      </c>
      <c r="I414" t="s">
        <v>4289</v>
      </c>
      <c r="J414" t="s">
        <v>4290</v>
      </c>
      <c r="K414" t="s">
        <v>74</v>
      </c>
      <c r="L414" t="s">
        <v>74</v>
      </c>
      <c r="M414" t="s">
        <v>74</v>
      </c>
      <c r="N414" t="s">
        <v>78</v>
      </c>
      <c r="O414" t="s">
        <v>74</v>
      </c>
      <c r="P414" t="s">
        <v>74</v>
      </c>
      <c r="Q414" t="s">
        <v>74</v>
      </c>
      <c r="R414" t="s">
        <v>74</v>
      </c>
      <c r="S414" t="s">
        <v>74</v>
      </c>
      <c r="T414" t="s">
        <v>4291</v>
      </c>
      <c r="U414" t="s">
        <v>4292</v>
      </c>
      <c r="V414" t="s">
        <v>4293</v>
      </c>
      <c r="W414" t="s">
        <v>4294</v>
      </c>
      <c r="X414" t="s">
        <v>4295</v>
      </c>
      <c r="Y414" t="s">
        <v>4296</v>
      </c>
      <c r="Z414" t="s">
        <v>4297</v>
      </c>
      <c r="AA414" t="s">
        <v>4298</v>
      </c>
      <c r="AB414" t="s">
        <v>4299</v>
      </c>
      <c r="AC414" t="s">
        <v>74</v>
      </c>
      <c r="AD414" t="s">
        <v>74</v>
      </c>
      <c r="AE414" t="s">
        <v>74</v>
      </c>
      <c r="AF414" t="s">
        <v>74</v>
      </c>
      <c r="AG414">
        <v>17</v>
      </c>
      <c r="AH414">
        <v>10</v>
      </c>
      <c r="AI414">
        <v>10</v>
      </c>
      <c r="AJ414">
        <v>2</v>
      </c>
      <c r="AK414">
        <v>6</v>
      </c>
      <c r="AL414" t="s">
        <v>74</v>
      </c>
      <c r="AM414" t="s">
        <v>74</v>
      </c>
      <c r="AN414" t="s">
        <v>74</v>
      </c>
      <c r="AO414" t="s">
        <v>4300</v>
      </c>
      <c r="AP414" t="s">
        <v>4301</v>
      </c>
      <c r="AQ414" t="s">
        <v>74</v>
      </c>
      <c r="AR414" t="s">
        <v>74</v>
      </c>
      <c r="AS414" t="s">
        <v>74</v>
      </c>
      <c r="AT414" t="s">
        <v>640</v>
      </c>
      <c r="AU414">
        <v>2018</v>
      </c>
      <c r="AV414">
        <v>13</v>
      </c>
      <c r="AW414">
        <v>2</v>
      </c>
      <c r="AX414" t="s">
        <v>74</v>
      </c>
      <c r="AY414" t="s">
        <v>74</v>
      </c>
      <c r="AZ414" t="s">
        <v>74</v>
      </c>
      <c r="BA414" t="s">
        <v>74</v>
      </c>
      <c r="BB414">
        <v>187</v>
      </c>
      <c r="BC414">
        <v>194</v>
      </c>
      <c r="BD414" t="s">
        <v>74</v>
      </c>
      <c r="BE414" t="s">
        <v>4302</v>
      </c>
      <c r="BF414" t="str">
        <f>HYPERLINK("http://dx.doi.org/10.2217/fmb-2017-0145","http://dx.doi.org/10.2217/fmb-2017-0145")</f>
        <v>http://dx.doi.org/10.2217/fmb-2017-0145</v>
      </c>
      <c r="BG414" t="s">
        <v>74</v>
      </c>
      <c r="BH414" t="s">
        <v>74</v>
      </c>
      <c r="BI414" t="s">
        <v>74</v>
      </c>
      <c r="BJ414" t="s">
        <v>1699</v>
      </c>
      <c r="BK414" t="s">
        <v>112</v>
      </c>
      <c r="BL414" t="s">
        <v>1699</v>
      </c>
      <c r="BM414" t="s">
        <v>74</v>
      </c>
      <c r="BN414">
        <v>28975808</v>
      </c>
      <c r="BO414" t="s">
        <v>74</v>
      </c>
      <c r="BP414" t="s">
        <v>74</v>
      </c>
      <c r="BQ414" t="s">
        <v>74</v>
      </c>
      <c r="BR414" t="s">
        <v>93</v>
      </c>
      <c r="BS414" t="s">
        <v>4303</v>
      </c>
      <c r="BT414" t="str">
        <f>HYPERLINK("https%3A%2F%2Fwww.webofscience.com%2Fwos%2Fwoscc%2Ffull-record%2FWOS:000427273500005","View Full Record in Web of Science")</f>
        <v>View Full Record in Web of Science</v>
      </c>
    </row>
    <row r="415" spans="1:72" x14ac:dyDescent="0.15">
      <c r="A415" t="s">
        <v>72</v>
      </c>
      <c r="B415" t="s">
        <v>5136</v>
      </c>
      <c r="C415" t="s">
        <v>74</v>
      </c>
      <c r="D415" t="s">
        <v>74</v>
      </c>
      <c r="E415" t="s">
        <v>74</v>
      </c>
      <c r="F415" t="s">
        <v>5137</v>
      </c>
      <c r="G415" t="s">
        <v>74</v>
      </c>
      <c r="H415" t="s">
        <v>74</v>
      </c>
      <c r="I415" t="s">
        <v>5138</v>
      </c>
      <c r="J415" t="s">
        <v>5139</v>
      </c>
      <c r="K415" t="s">
        <v>74</v>
      </c>
      <c r="L415" t="s">
        <v>74</v>
      </c>
      <c r="M415" t="s">
        <v>74</v>
      </c>
      <c r="N415" t="s">
        <v>78</v>
      </c>
      <c r="O415" t="s">
        <v>74</v>
      </c>
      <c r="P415" t="s">
        <v>74</v>
      </c>
      <c r="Q415" t="s">
        <v>74</v>
      </c>
      <c r="R415" t="s">
        <v>74</v>
      </c>
      <c r="S415" t="s">
        <v>74</v>
      </c>
      <c r="T415" t="s">
        <v>5140</v>
      </c>
      <c r="U415" t="s">
        <v>5141</v>
      </c>
      <c r="V415" t="s">
        <v>5142</v>
      </c>
      <c r="W415" t="s">
        <v>5143</v>
      </c>
      <c r="X415" t="s">
        <v>5144</v>
      </c>
      <c r="Y415" t="s">
        <v>5145</v>
      </c>
      <c r="Z415" t="s">
        <v>5146</v>
      </c>
      <c r="AA415" t="s">
        <v>5147</v>
      </c>
      <c r="AB415" t="s">
        <v>5148</v>
      </c>
      <c r="AC415" t="s">
        <v>74</v>
      </c>
      <c r="AD415" t="s">
        <v>74</v>
      </c>
      <c r="AE415" t="s">
        <v>74</v>
      </c>
      <c r="AF415" t="s">
        <v>74</v>
      </c>
      <c r="AG415">
        <v>171</v>
      </c>
      <c r="AH415">
        <v>10</v>
      </c>
      <c r="AI415">
        <v>11</v>
      </c>
      <c r="AJ415">
        <v>1</v>
      </c>
      <c r="AK415">
        <v>7</v>
      </c>
      <c r="AL415" t="s">
        <v>74</v>
      </c>
      <c r="AM415" t="s">
        <v>74</v>
      </c>
      <c r="AN415" t="s">
        <v>74</v>
      </c>
      <c r="AO415" t="s">
        <v>5149</v>
      </c>
      <c r="AP415" t="s">
        <v>5150</v>
      </c>
      <c r="AQ415" t="s">
        <v>74</v>
      </c>
      <c r="AR415" t="s">
        <v>74</v>
      </c>
      <c r="AS415" t="s">
        <v>74</v>
      </c>
      <c r="AT415" t="s">
        <v>4656</v>
      </c>
      <c r="AU415">
        <v>2019</v>
      </c>
      <c r="AV415">
        <v>23</v>
      </c>
      <c r="AW415">
        <v>4</v>
      </c>
      <c r="AX415" t="s">
        <v>74</v>
      </c>
      <c r="AY415" t="s">
        <v>74</v>
      </c>
      <c r="AZ415" t="s">
        <v>1075</v>
      </c>
      <c r="BA415" t="s">
        <v>74</v>
      </c>
      <c r="BB415">
        <v>284</v>
      </c>
      <c r="BC415">
        <v>296</v>
      </c>
      <c r="BD415" t="s">
        <v>74</v>
      </c>
      <c r="BE415" t="s">
        <v>5151</v>
      </c>
      <c r="BF415" t="str">
        <f>HYPERLINK("http://dx.doi.org/10.1089/gtmb.2018.0237","http://dx.doi.org/10.1089/gtmb.2018.0237")</f>
        <v>http://dx.doi.org/10.1089/gtmb.2018.0237</v>
      </c>
      <c r="BG415" t="s">
        <v>74</v>
      </c>
      <c r="BH415" t="s">
        <v>5152</v>
      </c>
      <c r="BI415" t="s">
        <v>74</v>
      </c>
      <c r="BJ415" t="s">
        <v>3263</v>
      </c>
      <c r="BK415" t="s">
        <v>112</v>
      </c>
      <c r="BL415" t="s">
        <v>3263</v>
      </c>
      <c r="BM415" t="s">
        <v>74</v>
      </c>
      <c r="BN415">
        <v>30916594</v>
      </c>
      <c r="BO415" t="s">
        <v>74</v>
      </c>
      <c r="BP415" t="s">
        <v>74</v>
      </c>
      <c r="BQ415" t="s">
        <v>74</v>
      </c>
      <c r="BR415" t="s">
        <v>93</v>
      </c>
      <c r="BS415" t="s">
        <v>5153</v>
      </c>
      <c r="BT415" t="str">
        <f>HYPERLINK("https%3A%2F%2Fwww.webofscience.com%2Fwos%2Fwoscc%2Ffull-record%2FWOS:000462520900001","View Full Record in Web of Science")</f>
        <v>View Full Record in Web of Science</v>
      </c>
    </row>
    <row r="416" spans="1:72" x14ac:dyDescent="0.15">
      <c r="A416" t="s">
        <v>72</v>
      </c>
      <c r="B416" t="s">
        <v>5167</v>
      </c>
      <c r="C416" t="s">
        <v>74</v>
      </c>
      <c r="D416" t="s">
        <v>74</v>
      </c>
      <c r="E416" t="s">
        <v>74</v>
      </c>
      <c r="F416" t="s">
        <v>5168</v>
      </c>
      <c r="G416" t="s">
        <v>74</v>
      </c>
      <c r="H416" t="s">
        <v>74</v>
      </c>
      <c r="I416" t="s">
        <v>5169</v>
      </c>
      <c r="J416" t="s">
        <v>5170</v>
      </c>
      <c r="K416" t="s">
        <v>74</v>
      </c>
      <c r="L416" t="s">
        <v>74</v>
      </c>
      <c r="M416" t="s">
        <v>74</v>
      </c>
      <c r="N416" t="s">
        <v>78</v>
      </c>
      <c r="O416" t="s">
        <v>74</v>
      </c>
      <c r="P416" t="s">
        <v>74</v>
      </c>
      <c r="Q416" t="s">
        <v>74</v>
      </c>
      <c r="R416" t="s">
        <v>74</v>
      </c>
      <c r="S416" t="s">
        <v>74</v>
      </c>
      <c r="T416" t="s">
        <v>74</v>
      </c>
      <c r="U416" t="s">
        <v>5171</v>
      </c>
      <c r="V416" t="s">
        <v>5172</v>
      </c>
      <c r="W416" t="s">
        <v>5173</v>
      </c>
      <c r="X416" t="s">
        <v>5174</v>
      </c>
      <c r="Y416" t="s">
        <v>5175</v>
      </c>
      <c r="Z416" t="s">
        <v>5176</v>
      </c>
      <c r="AA416" t="s">
        <v>74</v>
      </c>
      <c r="AB416" t="s">
        <v>5177</v>
      </c>
      <c r="AC416" t="s">
        <v>74</v>
      </c>
      <c r="AD416" t="s">
        <v>74</v>
      </c>
      <c r="AE416" t="s">
        <v>74</v>
      </c>
      <c r="AF416" t="s">
        <v>74</v>
      </c>
      <c r="AG416">
        <v>44</v>
      </c>
      <c r="AH416">
        <v>10</v>
      </c>
      <c r="AI416">
        <v>10</v>
      </c>
      <c r="AJ416">
        <v>5</v>
      </c>
      <c r="AK416">
        <v>26</v>
      </c>
      <c r="AL416" t="s">
        <v>74</v>
      </c>
      <c r="AM416" t="s">
        <v>74</v>
      </c>
      <c r="AN416" t="s">
        <v>74</v>
      </c>
      <c r="AO416" t="s">
        <v>5178</v>
      </c>
      <c r="AP416" t="s">
        <v>74</v>
      </c>
      <c r="AQ416" t="s">
        <v>74</v>
      </c>
      <c r="AR416" t="s">
        <v>74</v>
      </c>
      <c r="AS416" t="s">
        <v>74</v>
      </c>
      <c r="AT416" t="s">
        <v>5179</v>
      </c>
      <c r="AU416">
        <v>2020</v>
      </c>
      <c r="AV416">
        <v>11</v>
      </c>
      <c r="AW416">
        <v>14</v>
      </c>
      <c r="AX416" t="s">
        <v>74</v>
      </c>
      <c r="AY416" t="s">
        <v>74</v>
      </c>
      <c r="AZ416" t="s">
        <v>74</v>
      </c>
      <c r="BA416" t="s">
        <v>74</v>
      </c>
      <c r="BB416">
        <v>5569</v>
      </c>
      <c r="BC416">
        <v>5576</v>
      </c>
      <c r="BD416" t="s">
        <v>74</v>
      </c>
      <c r="BE416" t="s">
        <v>5180</v>
      </c>
      <c r="BF416" t="str">
        <f>HYPERLINK("http://dx.doi.org/10.1021/acs.jpclett.0c01018","http://dx.doi.org/10.1021/acs.jpclett.0c01018")</f>
        <v>http://dx.doi.org/10.1021/acs.jpclett.0c01018</v>
      </c>
      <c r="BG416" t="s">
        <v>74</v>
      </c>
      <c r="BH416" t="s">
        <v>74</v>
      </c>
      <c r="BI416" t="s">
        <v>74</v>
      </c>
      <c r="BJ416" t="s">
        <v>5181</v>
      </c>
      <c r="BK416" t="s">
        <v>112</v>
      </c>
      <c r="BL416" t="s">
        <v>2124</v>
      </c>
      <c r="BM416" t="s">
        <v>74</v>
      </c>
      <c r="BN416">
        <v>32573237</v>
      </c>
      <c r="BO416" t="s">
        <v>74</v>
      </c>
      <c r="BP416" t="s">
        <v>74</v>
      </c>
      <c r="BQ416" t="s">
        <v>74</v>
      </c>
      <c r="BR416" t="s">
        <v>93</v>
      </c>
      <c r="BS416" t="s">
        <v>5182</v>
      </c>
      <c r="BT416" t="str">
        <f>HYPERLINK("https%3A%2F%2Fwww.webofscience.com%2Fwos%2Fwoscc%2Ffull-record%2FWOS:000551546100027","View Full Record in Web of Science")</f>
        <v>View Full Record in Web of Science</v>
      </c>
    </row>
    <row r="417" spans="1:72" x14ac:dyDescent="0.15">
      <c r="A417" t="s">
        <v>312</v>
      </c>
      <c r="B417" t="s">
        <v>5490</v>
      </c>
      <c r="C417" t="s">
        <v>74</v>
      </c>
      <c r="D417" t="s">
        <v>5491</v>
      </c>
      <c r="E417" t="s">
        <v>74</v>
      </c>
      <c r="F417" t="s">
        <v>5492</v>
      </c>
      <c r="G417" t="s">
        <v>74</v>
      </c>
      <c r="H417" t="s">
        <v>74</v>
      </c>
      <c r="I417" t="s">
        <v>5493</v>
      </c>
      <c r="J417" t="s">
        <v>5494</v>
      </c>
      <c r="K417" t="s">
        <v>5495</v>
      </c>
      <c r="L417" t="s">
        <v>74</v>
      </c>
      <c r="M417" t="s">
        <v>74</v>
      </c>
      <c r="N417" t="s">
        <v>319</v>
      </c>
      <c r="O417" t="s">
        <v>74</v>
      </c>
      <c r="P417" t="s">
        <v>74</v>
      </c>
      <c r="Q417" t="s">
        <v>74</v>
      </c>
      <c r="R417" t="s">
        <v>74</v>
      </c>
      <c r="S417" t="s">
        <v>74</v>
      </c>
      <c r="T417" t="s">
        <v>74</v>
      </c>
      <c r="U417" t="s">
        <v>5496</v>
      </c>
      <c r="V417" t="s">
        <v>5497</v>
      </c>
      <c r="W417" t="s">
        <v>5498</v>
      </c>
      <c r="X417" t="s">
        <v>5499</v>
      </c>
      <c r="Y417" t="s">
        <v>5500</v>
      </c>
      <c r="Z417" t="s">
        <v>5501</v>
      </c>
      <c r="AA417" t="s">
        <v>74</v>
      </c>
      <c r="AB417" t="s">
        <v>5502</v>
      </c>
      <c r="AC417" t="s">
        <v>74</v>
      </c>
      <c r="AD417" t="s">
        <v>74</v>
      </c>
      <c r="AE417" t="s">
        <v>74</v>
      </c>
      <c r="AF417" t="s">
        <v>74</v>
      </c>
      <c r="AG417">
        <v>231</v>
      </c>
      <c r="AH417">
        <v>10</v>
      </c>
      <c r="AI417">
        <v>12</v>
      </c>
      <c r="AJ417">
        <v>0</v>
      </c>
      <c r="AK417">
        <v>3</v>
      </c>
      <c r="AL417" t="s">
        <v>74</v>
      </c>
      <c r="AM417" t="s">
        <v>74</v>
      </c>
      <c r="AN417" t="s">
        <v>74</v>
      </c>
      <c r="AO417" t="s">
        <v>5503</v>
      </c>
      <c r="AP417" t="s">
        <v>74</v>
      </c>
      <c r="AQ417" t="s">
        <v>5504</v>
      </c>
      <c r="AR417" t="s">
        <v>74</v>
      </c>
      <c r="AS417" t="s">
        <v>74</v>
      </c>
      <c r="AT417" t="s">
        <v>74</v>
      </c>
      <c r="AU417">
        <v>2018</v>
      </c>
      <c r="AV417">
        <v>146</v>
      </c>
      <c r="AW417" t="s">
        <v>74</v>
      </c>
      <c r="AX417" t="s">
        <v>74</v>
      </c>
      <c r="AY417" t="s">
        <v>74</v>
      </c>
      <c r="AZ417" t="s">
        <v>74</v>
      </c>
      <c r="BA417" t="s">
        <v>74</v>
      </c>
      <c r="BB417">
        <v>139</v>
      </c>
      <c r="BC417">
        <v>169</v>
      </c>
      <c r="BD417" t="s">
        <v>74</v>
      </c>
      <c r="BE417" t="s">
        <v>5505</v>
      </c>
      <c r="BF417" t="str">
        <f>HYPERLINK("http://dx.doi.org/10.1016/B978-0-12-804279-3.00010-1","http://dx.doi.org/10.1016/B978-0-12-804279-3.00010-1")</f>
        <v>http://dx.doi.org/10.1016/B978-0-12-804279-3.00010-1</v>
      </c>
      <c r="BG417" t="s">
        <v>74</v>
      </c>
      <c r="BH417" t="s">
        <v>74</v>
      </c>
      <c r="BI417" t="s">
        <v>74</v>
      </c>
      <c r="BJ417" t="s">
        <v>3601</v>
      </c>
      <c r="BK417" t="s">
        <v>334</v>
      </c>
      <c r="BL417" t="s">
        <v>2407</v>
      </c>
      <c r="BM417" t="s">
        <v>74</v>
      </c>
      <c r="BN417">
        <v>29110768</v>
      </c>
      <c r="BO417" t="s">
        <v>74</v>
      </c>
      <c r="BP417" t="s">
        <v>74</v>
      </c>
      <c r="BQ417" t="s">
        <v>74</v>
      </c>
      <c r="BR417" t="s">
        <v>93</v>
      </c>
      <c r="BS417" t="s">
        <v>5506</v>
      </c>
      <c r="BT417" t="str">
        <f>HYPERLINK("https%3A%2F%2Fwww.webofscience.com%2Fwos%2Fwoscc%2Ffull-record%2FWOS:000472710600012","View Full Record in Web of Science")</f>
        <v>View Full Record in Web of Science</v>
      </c>
    </row>
    <row r="418" spans="1:72" x14ac:dyDescent="0.15">
      <c r="A418" t="s">
        <v>312</v>
      </c>
      <c r="B418" t="s">
        <v>6612</v>
      </c>
      <c r="C418" t="s">
        <v>74</v>
      </c>
      <c r="D418" t="s">
        <v>6613</v>
      </c>
      <c r="E418" t="s">
        <v>74</v>
      </c>
      <c r="F418" t="s">
        <v>6614</v>
      </c>
      <c r="G418" t="s">
        <v>74</v>
      </c>
      <c r="H418" t="s">
        <v>74</v>
      </c>
      <c r="I418" t="s">
        <v>6615</v>
      </c>
      <c r="J418" t="s">
        <v>6616</v>
      </c>
      <c r="K418" t="s">
        <v>318</v>
      </c>
      <c r="L418" t="s">
        <v>74</v>
      </c>
      <c r="M418" t="s">
        <v>74</v>
      </c>
      <c r="N418" t="s">
        <v>319</v>
      </c>
      <c r="O418" t="s">
        <v>74</v>
      </c>
      <c r="P418" t="s">
        <v>74</v>
      </c>
      <c r="Q418" t="s">
        <v>74</v>
      </c>
      <c r="R418" t="s">
        <v>74</v>
      </c>
      <c r="S418" t="s">
        <v>74</v>
      </c>
      <c r="T418" t="s">
        <v>6617</v>
      </c>
      <c r="U418" t="s">
        <v>6618</v>
      </c>
      <c r="V418" t="s">
        <v>6619</v>
      </c>
      <c r="W418" t="s">
        <v>6620</v>
      </c>
      <c r="X418" t="s">
        <v>6621</v>
      </c>
      <c r="Y418" t="s">
        <v>6622</v>
      </c>
      <c r="Z418" t="s">
        <v>74</v>
      </c>
      <c r="AA418" t="s">
        <v>74</v>
      </c>
      <c r="AB418" t="s">
        <v>6623</v>
      </c>
      <c r="AC418" t="s">
        <v>74</v>
      </c>
      <c r="AD418" t="s">
        <v>74</v>
      </c>
      <c r="AE418" t="s">
        <v>74</v>
      </c>
      <c r="AF418" t="s">
        <v>74</v>
      </c>
      <c r="AG418">
        <v>46</v>
      </c>
      <c r="AH418">
        <v>10</v>
      </c>
      <c r="AI418">
        <v>10</v>
      </c>
      <c r="AJ418">
        <v>0</v>
      </c>
      <c r="AK418">
        <v>2</v>
      </c>
      <c r="AL418" t="s">
        <v>74</v>
      </c>
      <c r="AM418" t="s">
        <v>74</v>
      </c>
      <c r="AN418" t="s">
        <v>74</v>
      </c>
      <c r="AO418" t="s">
        <v>328</v>
      </c>
      <c r="AP418" t="s">
        <v>329</v>
      </c>
      <c r="AQ418" t="s">
        <v>6624</v>
      </c>
      <c r="AR418" t="s">
        <v>74</v>
      </c>
      <c r="AS418" t="s">
        <v>74</v>
      </c>
      <c r="AT418" t="s">
        <v>74</v>
      </c>
      <c r="AU418">
        <v>2018</v>
      </c>
      <c r="AV418">
        <v>1856</v>
      </c>
      <c r="AW418" t="s">
        <v>74</v>
      </c>
      <c r="AX418" t="s">
        <v>74</v>
      </c>
      <c r="AY418" t="s">
        <v>74</v>
      </c>
      <c r="AZ418" t="s">
        <v>74</v>
      </c>
      <c r="BA418" t="s">
        <v>74</v>
      </c>
      <c r="BB418">
        <v>269</v>
      </c>
      <c r="BC418">
        <v>282</v>
      </c>
      <c r="BD418" t="s">
        <v>74</v>
      </c>
      <c r="BE418" t="s">
        <v>6625</v>
      </c>
      <c r="BF418" t="str">
        <f>HYPERLINK("http://dx.doi.org/10.1007/978-1-4939-8751-1_16","http://dx.doi.org/10.1007/978-1-4939-8751-1_16")</f>
        <v>http://dx.doi.org/10.1007/978-1-4939-8751-1_16</v>
      </c>
      <c r="BG418" t="s">
        <v>6626</v>
      </c>
      <c r="BH418" t="s">
        <v>74</v>
      </c>
      <c r="BI418" t="s">
        <v>74</v>
      </c>
      <c r="BJ418" t="s">
        <v>333</v>
      </c>
      <c r="BK418" t="s">
        <v>334</v>
      </c>
      <c r="BL418" t="s">
        <v>188</v>
      </c>
      <c r="BM418" t="s">
        <v>74</v>
      </c>
      <c r="BN418">
        <v>30178258</v>
      </c>
      <c r="BO418" t="s">
        <v>74</v>
      </c>
      <c r="BP418" t="s">
        <v>74</v>
      </c>
      <c r="BQ418" t="s">
        <v>74</v>
      </c>
      <c r="BR418" t="s">
        <v>93</v>
      </c>
      <c r="BS418" t="s">
        <v>6627</v>
      </c>
      <c r="BT418" t="str">
        <f>HYPERLINK("https%3A%2F%2Fwww.webofscience.com%2Fwos%2Fwoscc%2Ffull-record%2FWOS:000458615400017","View Full Record in Web of Science")</f>
        <v>View Full Record in Web of Science</v>
      </c>
    </row>
    <row r="419" spans="1:72" x14ac:dyDescent="0.15">
      <c r="A419" t="s">
        <v>72</v>
      </c>
      <c r="B419" t="s">
        <v>7103</v>
      </c>
      <c r="C419" t="s">
        <v>74</v>
      </c>
      <c r="D419" t="s">
        <v>74</v>
      </c>
      <c r="E419" t="s">
        <v>74</v>
      </c>
      <c r="F419" t="s">
        <v>7104</v>
      </c>
      <c r="G419" t="s">
        <v>74</v>
      </c>
      <c r="H419" t="s">
        <v>74</v>
      </c>
      <c r="I419" t="s">
        <v>7105</v>
      </c>
      <c r="J419" t="s">
        <v>2013</v>
      </c>
      <c r="K419" t="s">
        <v>74</v>
      </c>
      <c r="L419" t="s">
        <v>74</v>
      </c>
      <c r="M419" t="s">
        <v>74</v>
      </c>
      <c r="N419" t="s">
        <v>78</v>
      </c>
      <c r="O419" t="s">
        <v>74</v>
      </c>
      <c r="P419" t="s">
        <v>74</v>
      </c>
      <c r="Q419" t="s">
        <v>74</v>
      </c>
      <c r="R419" t="s">
        <v>74</v>
      </c>
      <c r="S419" t="s">
        <v>74</v>
      </c>
      <c r="T419" t="s">
        <v>74</v>
      </c>
      <c r="U419" t="s">
        <v>7106</v>
      </c>
      <c r="V419" t="s">
        <v>7107</v>
      </c>
      <c r="W419" t="s">
        <v>7108</v>
      </c>
      <c r="X419" t="s">
        <v>7109</v>
      </c>
      <c r="Y419" t="s">
        <v>7110</v>
      </c>
      <c r="Z419" t="s">
        <v>7111</v>
      </c>
      <c r="AA419" t="s">
        <v>6072</v>
      </c>
      <c r="AB419" t="s">
        <v>7112</v>
      </c>
      <c r="AC419" t="s">
        <v>74</v>
      </c>
      <c r="AD419" t="s">
        <v>74</v>
      </c>
      <c r="AE419" t="s">
        <v>74</v>
      </c>
      <c r="AF419" t="s">
        <v>74</v>
      </c>
      <c r="AG419">
        <v>28</v>
      </c>
      <c r="AH419">
        <v>10</v>
      </c>
      <c r="AI419">
        <v>10</v>
      </c>
      <c r="AJ419">
        <v>8</v>
      </c>
      <c r="AK419">
        <v>46</v>
      </c>
      <c r="AL419" t="s">
        <v>74</v>
      </c>
      <c r="AM419" t="s">
        <v>74</v>
      </c>
      <c r="AN419" t="s">
        <v>74</v>
      </c>
      <c r="AO419" t="s">
        <v>2022</v>
      </c>
      <c r="AP419" t="s">
        <v>2023</v>
      </c>
      <c r="AQ419" t="s">
        <v>74</v>
      </c>
      <c r="AR419" t="s">
        <v>74</v>
      </c>
      <c r="AS419" t="s">
        <v>74</v>
      </c>
      <c r="AT419" t="s">
        <v>7113</v>
      </c>
      <c r="AU419">
        <v>2020</v>
      </c>
      <c r="AV419">
        <v>92</v>
      </c>
      <c r="AW419">
        <v>15</v>
      </c>
      <c r="AX419" t="s">
        <v>74</v>
      </c>
      <c r="AY419" t="s">
        <v>74</v>
      </c>
      <c r="AZ419" t="s">
        <v>74</v>
      </c>
      <c r="BA419" t="s">
        <v>74</v>
      </c>
      <c r="BB419">
        <v>10569</v>
      </c>
      <c r="BC419">
        <v>10577</v>
      </c>
      <c r="BD419" t="s">
        <v>74</v>
      </c>
      <c r="BE419" t="s">
        <v>7114</v>
      </c>
      <c r="BF419" t="str">
        <f>HYPERLINK("http://dx.doi.org/10.1021/acs.analchem.0c01464","http://dx.doi.org/10.1021/acs.analchem.0c01464")</f>
        <v>http://dx.doi.org/10.1021/acs.analchem.0c01464</v>
      </c>
      <c r="BG419" t="s">
        <v>74</v>
      </c>
      <c r="BH419" t="s">
        <v>74</v>
      </c>
      <c r="BI419" t="s">
        <v>74</v>
      </c>
      <c r="BJ419" t="s">
        <v>1196</v>
      </c>
      <c r="BK419" t="s">
        <v>112</v>
      </c>
      <c r="BL419" t="s">
        <v>1197</v>
      </c>
      <c r="BM419" t="s">
        <v>74</v>
      </c>
      <c r="BN419">
        <v>32600030</v>
      </c>
      <c r="BO419" t="s">
        <v>74</v>
      </c>
      <c r="BP419" t="s">
        <v>74</v>
      </c>
      <c r="BQ419" t="s">
        <v>74</v>
      </c>
      <c r="BR419" t="s">
        <v>93</v>
      </c>
      <c r="BS419" t="s">
        <v>7115</v>
      </c>
      <c r="BT419" t="str">
        <f>HYPERLINK("https%3A%2F%2Fwww.webofscience.com%2Fwos%2Fwoscc%2Ffull-record%2FWOS:000558761500050","View Full Record in Web of Science")</f>
        <v>View Full Record in Web of Science</v>
      </c>
    </row>
    <row r="420" spans="1:72" x14ac:dyDescent="0.15">
      <c r="A420" t="s">
        <v>72</v>
      </c>
      <c r="B420" t="s">
        <v>8661</v>
      </c>
      <c r="C420" t="s">
        <v>74</v>
      </c>
      <c r="D420" t="s">
        <v>74</v>
      </c>
      <c r="E420" t="s">
        <v>74</v>
      </c>
      <c r="F420" t="s">
        <v>8662</v>
      </c>
      <c r="G420" t="s">
        <v>74</v>
      </c>
      <c r="H420" t="s">
        <v>74</v>
      </c>
      <c r="I420" t="s">
        <v>8663</v>
      </c>
      <c r="J420" t="s">
        <v>8664</v>
      </c>
      <c r="K420" t="s">
        <v>74</v>
      </c>
      <c r="L420" t="s">
        <v>74</v>
      </c>
      <c r="M420" t="s">
        <v>74</v>
      </c>
      <c r="N420" t="s">
        <v>752</v>
      </c>
      <c r="O420" t="s">
        <v>8665</v>
      </c>
      <c r="P420" t="s">
        <v>8666</v>
      </c>
      <c r="Q420" t="s">
        <v>8667</v>
      </c>
      <c r="R420" t="s">
        <v>74</v>
      </c>
      <c r="S420" t="s">
        <v>74</v>
      </c>
      <c r="T420" t="s">
        <v>74</v>
      </c>
      <c r="U420" t="s">
        <v>8668</v>
      </c>
      <c r="V420" t="s">
        <v>8669</v>
      </c>
      <c r="W420" t="s">
        <v>8670</v>
      </c>
      <c r="X420" t="s">
        <v>8671</v>
      </c>
      <c r="Y420" t="s">
        <v>8672</v>
      </c>
      <c r="Z420" t="s">
        <v>8673</v>
      </c>
      <c r="AA420" t="s">
        <v>8674</v>
      </c>
      <c r="AB420" t="s">
        <v>8675</v>
      </c>
      <c r="AC420" t="s">
        <v>74</v>
      </c>
      <c r="AD420" t="s">
        <v>74</v>
      </c>
      <c r="AE420" t="s">
        <v>74</v>
      </c>
      <c r="AF420" t="s">
        <v>74</v>
      </c>
      <c r="AG420">
        <v>44</v>
      </c>
      <c r="AH420">
        <v>10</v>
      </c>
      <c r="AI420">
        <v>10</v>
      </c>
      <c r="AJ420">
        <v>0</v>
      </c>
      <c r="AK420">
        <v>3</v>
      </c>
      <c r="AL420" t="s">
        <v>74</v>
      </c>
      <c r="AM420" t="s">
        <v>74</v>
      </c>
      <c r="AN420" t="s">
        <v>74</v>
      </c>
      <c r="AO420" t="s">
        <v>8676</v>
      </c>
      <c r="AP420" t="s">
        <v>8677</v>
      </c>
      <c r="AQ420" t="s">
        <v>74</v>
      </c>
      <c r="AR420" t="s">
        <v>74</v>
      </c>
      <c r="AS420" t="s">
        <v>74</v>
      </c>
      <c r="AT420" t="s">
        <v>171</v>
      </c>
      <c r="AU420">
        <v>2019</v>
      </c>
      <c r="AV420" t="s">
        <v>74</v>
      </c>
      <c r="AW420" t="s">
        <v>74</v>
      </c>
      <c r="AX420" t="s">
        <v>74</v>
      </c>
      <c r="AY420" t="s">
        <v>74</v>
      </c>
      <c r="AZ420" t="s">
        <v>74</v>
      </c>
      <c r="BA420" t="s">
        <v>74</v>
      </c>
      <c r="BB420">
        <v>182</v>
      </c>
      <c r="BC420">
        <v>186</v>
      </c>
      <c r="BD420" t="s">
        <v>74</v>
      </c>
      <c r="BE420" t="s">
        <v>74</v>
      </c>
      <c r="BF420" t="s">
        <v>74</v>
      </c>
      <c r="BG420" t="s">
        <v>74</v>
      </c>
      <c r="BH420" t="s">
        <v>74</v>
      </c>
      <c r="BI420" t="s">
        <v>74</v>
      </c>
      <c r="BJ420" t="s">
        <v>8678</v>
      </c>
      <c r="BK420" t="s">
        <v>1408</v>
      </c>
      <c r="BL420" t="s">
        <v>8679</v>
      </c>
      <c r="BM420" t="s">
        <v>74</v>
      </c>
      <c r="BN420">
        <v>31808871</v>
      </c>
      <c r="BO420" t="s">
        <v>74</v>
      </c>
      <c r="BP420" t="s">
        <v>74</v>
      </c>
      <c r="BQ420" t="s">
        <v>74</v>
      </c>
      <c r="BR420" t="s">
        <v>93</v>
      </c>
      <c r="BS420" t="s">
        <v>8680</v>
      </c>
      <c r="BT420" t="str">
        <f>HYPERLINK("https%3A%2F%2Fwww.webofscience.com%2Fwos%2Fwoscc%2Ffull-record%2FWOS:000538564000026","View Full Record in Web of Science")</f>
        <v>View Full Record in Web of Science</v>
      </c>
    </row>
    <row r="421" spans="1:72" x14ac:dyDescent="0.15">
      <c r="A421" t="s">
        <v>72</v>
      </c>
      <c r="B421" t="s">
        <v>9252</v>
      </c>
      <c r="C421" t="s">
        <v>74</v>
      </c>
      <c r="D421" t="s">
        <v>74</v>
      </c>
      <c r="E421" t="s">
        <v>74</v>
      </c>
      <c r="F421" t="s">
        <v>9253</v>
      </c>
      <c r="G421" t="s">
        <v>74</v>
      </c>
      <c r="H421" t="s">
        <v>74</v>
      </c>
      <c r="I421" t="s">
        <v>9254</v>
      </c>
      <c r="J421" t="s">
        <v>7147</v>
      </c>
      <c r="K421" t="s">
        <v>74</v>
      </c>
      <c r="L421" t="s">
        <v>74</v>
      </c>
      <c r="M421" t="s">
        <v>74</v>
      </c>
      <c r="N421" t="s">
        <v>78</v>
      </c>
      <c r="O421" t="s">
        <v>74</v>
      </c>
      <c r="P421" t="s">
        <v>74</v>
      </c>
      <c r="Q421" t="s">
        <v>74</v>
      </c>
      <c r="R421" t="s">
        <v>74</v>
      </c>
      <c r="S421" t="s">
        <v>74</v>
      </c>
      <c r="T421" t="s">
        <v>9255</v>
      </c>
      <c r="U421" t="s">
        <v>9256</v>
      </c>
      <c r="V421" t="s">
        <v>9257</v>
      </c>
      <c r="W421" t="s">
        <v>9258</v>
      </c>
      <c r="X421" t="s">
        <v>9259</v>
      </c>
      <c r="Y421" t="s">
        <v>9260</v>
      </c>
      <c r="Z421" t="s">
        <v>9261</v>
      </c>
      <c r="AA421" t="s">
        <v>9262</v>
      </c>
      <c r="AB421" t="s">
        <v>9263</v>
      </c>
      <c r="AC421" t="s">
        <v>74</v>
      </c>
      <c r="AD421" t="s">
        <v>74</v>
      </c>
      <c r="AE421" t="s">
        <v>74</v>
      </c>
      <c r="AF421" t="s">
        <v>74</v>
      </c>
      <c r="AG421">
        <v>31</v>
      </c>
      <c r="AH421">
        <v>10</v>
      </c>
      <c r="AI421">
        <v>10</v>
      </c>
      <c r="AJ421">
        <v>1</v>
      </c>
      <c r="AK421">
        <v>2</v>
      </c>
      <c r="AL421" t="s">
        <v>74</v>
      </c>
      <c r="AM421" t="s">
        <v>74</v>
      </c>
      <c r="AN421" t="s">
        <v>74</v>
      </c>
      <c r="AO421" t="s">
        <v>7155</v>
      </c>
      <c r="AP421" t="s">
        <v>74</v>
      </c>
      <c r="AQ421" t="s">
        <v>74</v>
      </c>
      <c r="AR421" t="s">
        <v>74</v>
      </c>
      <c r="AS421" t="s">
        <v>74</v>
      </c>
      <c r="AT421" t="s">
        <v>9264</v>
      </c>
      <c r="AU421">
        <v>2020</v>
      </c>
      <c r="AV421">
        <v>11</v>
      </c>
      <c r="AW421" t="s">
        <v>74</v>
      </c>
      <c r="AX421" t="s">
        <v>74</v>
      </c>
      <c r="AY421" t="s">
        <v>74</v>
      </c>
      <c r="AZ421" t="s">
        <v>74</v>
      </c>
      <c r="BA421" t="s">
        <v>74</v>
      </c>
      <c r="BB421" t="s">
        <v>74</v>
      </c>
      <c r="BC421" t="s">
        <v>74</v>
      </c>
      <c r="BD421">
        <v>881</v>
      </c>
      <c r="BE421" t="s">
        <v>9265</v>
      </c>
      <c r="BF421" t="str">
        <f>HYPERLINK("http://dx.doi.org/10.3389/fneur.2020.00881","http://dx.doi.org/10.3389/fneur.2020.00881")</f>
        <v>http://dx.doi.org/10.3389/fneur.2020.00881</v>
      </c>
      <c r="BG421" t="s">
        <v>74</v>
      </c>
      <c r="BH421" t="s">
        <v>74</v>
      </c>
      <c r="BI421" t="s">
        <v>74</v>
      </c>
      <c r="BJ421" t="s">
        <v>2406</v>
      </c>
      <c r="BK421" t="s">
        <v>112</v>
      </c>
      <c r="BL421" t="s">
        <v>2407</v>
      </c>
      <c r="BM421" t="s">
        <v>74</v>
      </c>
      <c r="BN421">
        <v>32982917</v>
      </c>
      <c r="BO421" t="s">
        <v>74</v>
      </c>
      <c r="BP421" t="s">
        <v>74</v>
      </c>
      <c r="BQ421" t="s">
        <v>74</v>
      </c>
      <c r="BR421" t="s">
        <v>93</v>
      </c>
      <c r="BS421" t="s">
        <v>9266</v>
      </c>
      <c r="BT421" t="str">
        <f>HYPERLINK("https%3A%2F%2Fwww.webofscience.com%2Fwos%2Fwoscc%2Ffull-record%2FWOS:000570377300001","View Full Record in Web of Science")</f>
        <v>View Full Record in Web of Science</v>
      </c>
    </row>
    <row r="422" spans="1:72" x14ac:dyDescent="0.15">
      <c r="A422" t="s">
        <v>72</v>
      </c>
      <c r="B422" t="s">
        <v>716</v>
      </c>
      <c r="C422" t="s">
        <v>74</v>
      </c>
      <c r="D422" t="s">
        <v>74</v>
      </c>
      <c r="E422" t="s">
        <v>74</v>
      </c>
      <c r="F422" t="s">
        <v>717</v>
      </c>
      <c r="G422" t="s">
        <v>74</v>
      </c>
      <c r="H422" t="s">
        <v>74</v>
      </c>
      <c r="I422" t="s">
        <v>718</v>
      </c>
      <c r="J422" t="s">
        <v>406</v>
      </c>
      <c r="K422" t="s">
        <v>74</v>
      </c>
      <c r="L422" t="s">
        <v>74</v>
      </c>
      <c r="M422" t="s">
        <v>74</v>
      </c>
      <c r="N422" t="s">
        <v>78</v>
      </c>
      <c r="O422" t="s">
        <v>74</v>
      </c>
      <c r="P422" t="s">
        <v>74</v>
      </c>
      <c r="Q422" t="s">
        <v>74</v>
      </c>
      <c r="R422" t="s">
        <v>74</v>
      </c>
      <c r="S422" t="s">
        <v>74</v>
      </c>
      <c r="T422" t="s">
        <v>719</v>
      </c>
      <c r="U422" t="s">
        <v>720</v>
      </c>
      <c r="V422" t="s">
        <v>721</v>
      </c>
      <c r="W422" t="s">
        <v>722</v>
      </c>
      <c r="X422" t="s">
        <v>723</v>
      </c>
      <c r="Y422" t="s">
        <v>724</v>
      </c>
      <c r="Z422" t="s">
        <v>725</v>
      </c>
      <c r="AA422" t="s">
        <v>726</v>
      </c>
      <c r="AB422" t="s">
        <v>727</v>
      </c>
      <c r="AC422" t="s">
        <v>74</v>
      </c>
      <c r="AD422" t="s">
        <v>74</v>
      </c>
      <c r="AE422" t="s">
        <v>74</v>
      </c>
      <c r="AF422" t="s">
        <v>74</v>
      </c>
      <c r="AG422">
        <v>54</v>
      </c>
      <c r="AH422">
        <v>9</v>
      </c>
      <c r="AI422">
        <v>9</v>
      </c>
      <c r="AJ422">
        <v>8</v>
      </c>
      <c r="AK422">
        <v>20</v>
      </c>
      <c r="AL422" t="s">
        <v>74</v>
      </c>
      <c r="AM422" t="s">
        <v>74</v>
      </c>
      <c r="AN422" t="s">
        <v>74</v>
      </c>
      <c r="AO422" t="s">
        <v>74</v>
      </c>
      <c r="AP422" t="s">
        <v>416</v>
      </c>
      <c r="AQ422" t="s">
        <v>74</v>
      </c>
      <c r="AR422" t="s">
        <v>74</v>
      </c>
      <c r="AS422" t="s">
        <v>74</v>
      </c>
      <c r="AT422" t="s">
        <v>728</v>
      </c>
      <c r="AU422">
        <v>2020</v>
      </c>
      <c r="AV422">
        <v>9</v>
      </c>
      <c r="AW422">
        <v>1</v>
      </c>
      <c r="AX422" t="s">
        <v>74</v>
      </c>
      <c r="AY422" t="s">
        <v>74</v>
      </c>
      <c r="AZ422" t="s">
        <v>74</v>
      </c>
      <c r="BA422" t="s">
        <v>74</v>
      </c>
      <c r="BB422" t="s">
        <v>74</v>
      </c>
      <c r="BC422" t="s">
        <v>74</v>
      </c>
      <c r="BD422">
        <v>1743139</v>
      </c>
      <c r="BE422" t="s">
        <v>729</v>
      </c>
      <c r="BF422" t="str">
        <f>HYPERLINK("http://dx.doi.org/10.1080/20013078.2020.1743139","http://dx.doi.org/10.1080/20013078.2020.1743139")</f>
        <v>http://dx.doi.org/10.1080/20013078.2020.1743139</v>
      </c>
      <c r="BG422" t="s">
        <v>74</v>
      </c>
      <c r="BH422" t="s">
        <v>74</v>
      </c>
      <c r="BI422" t="s">
        <v>74</v>
      </c>
      <c r="BJ422" t="s">
        <v>419</v>
      </c>
      <c r="BK422" t="s">
        <v>112</v>
      </c>
      <c r="BL422" t="s">
        <v>419</v>
      </c>
      <c r="BM422" t="s">
        <v>74</v>
      </c>
      <c r="BN422">
        <v>32341769</v>
      </c>
      <c r="BO422" t="s">
        <v>74</v>
      </c>
      <c r="BP422" t="s">
        <v>74</v>
      </c>
      <c r="BQ422" t="s">
        <v>74</v>
      </c>
      <c r="BR422" t="s">
        <v>93</v>
      </c>
      <c r="BS422" t="s">
        <v>730</v>
      </c>
      <c r="BT422" t="str">
        <f>HYPERLINK("https%3A%2F%2Fwww.webofscience.com%2Fwos%2Fwoscc%2Ffull-record%2FWOS:000522185000001","View Full Record in Web of Science")</f>
        <v>View Full Record in Web of Science</v>
      </c>
    </row>
    <row r="423" spans="1:72" x14ac:dyDescent="0.15">
      <c r="A423" t="s">
        <v>72</v>
      </c>
      <c r="B423" t="s">
        <v>857</v>
      </c>
      <c r="C423" t="s">
        <v>74</v>
      </c>
      <c r="D423" t="s">
        <v>74</v>
      </c>
      <c r="E423" t="s">
        <v>74</v>
      </c>
      <c r="F423" t="s">
        <v>858</v>
      </c>
      <c r="G423" t="s">
        <v>74</v>
      </c>
      <c r="H423" t="s">
        <v>74</v>
      </c>
      <c r="I423" t="s">
        <v>859</v>
      </c>
      <c r="J423" t="s">
        <v>860</v>
      </c>
      <c r="K423" t="s">
        <v>74</v>
      </c>
      <c r="L423" t="s">
        <v>74</v>
      </c>
      <c r="M423" t="s">
        <v>74</v>
      </c>
      <c r="N423" t="s">
        <v>78</v>
      </c>
      <c r="O423" t="s">
        <v>74</v>
      </c>
      <c r="P423" t="s">
        <v>74</v>
      </c>
      <c r="Q423" t="s">
        <v>74</v>
      </c>
      <c r="R423" t="s">
        <v>74</v>
      </c>
      <c r="S423" t="s">
        <v>74</v>
      </c>
      <c r="T423" t="s">
        <v>861</v>
      </c>
      <c r="U423" t="s">
        <v>862</v>
      </c>
      <c r="V423" t="s">
        <v>863</v>
      </c>
      <c r="W423" t="s">
        <v>864</v>
      </c>
      <c r="X423" t="s">
        <v>865</v>
      </c>
      <c r="Y423" t="s">
        <v>866</v>
      </c>
      <c r="Z423" t="s">
        <v>867</v>
      </c>
      <c r="AA423" t="s">
        <v>74</v>
      </c>
      <c r="AB423" t="s">
        <v>74</v>
      </c>
      <c r="AC423" t="s">
        <v>74</v>
      </c>
      <c r="AD423" t="s">
        <v>74</v>
      </c>
      <c r="AE423" t="s">
        <v>74</v>
      </c>
      <c r="AF423" t="s">
        <v>74</v>
      </c>
      <c r="AG423">
        <v>39</v>
      </c>
      <c r="AH423">
        <v>9</v>
      </c>
      <c r="AI423">
        <v>9</v>
      </c>
      <c r="AJ423">
        <v>1</v>
      </c>
      <c r="AK423">
        <v>10</v>
      </c>
      <c r="AL423" t="s">
        <v>74</v>
      </c>
      <c r="AM423" t="s">
        <v>74</v>
      </c>
      <c r="AN423" t="s">
        <v>74</v>
      </c>
      <c r="AO423" t="s">
        <v>868</v>
      </c>
      <c r="AP423" t="s">
        <v>869</v>
      </c>
      <c r="AQ423" t="s">
        <v>74</v>
      </c>
      <c r="AR423" t="s">
        <v>74</v>
      </c>
      <c r="AS423" t="s">
        <v>74</v>
      </c>
      <c r="AT423" t="s">
        <v>659</v>
      </c>
      <c r="AU423">
        <v>2020</v>
      </c>
      <c r="AV423">
        <v>20</v>
      </c>
      <c r="AW423">
        <v>3</v>
      </c>
      <c r="AX423" t="s">
        <v>74</v>
      </c>
      <c r="AY423" t="s">
        <v>74</v>
      </c>
      <c r="AZ423" t="s">
        <v>74</v>
      </c>
      <c r="BA423" t="s">
        <v>74</v>
      </c>
      <c r="BB423">
        <v>2820</v>
      </c>
      <c r="BC423">
        <v>2828</v>
      </c>
      <c r="BD423" t="s">
        <v>74</v>
      </c>
      <c r="BE423" t="s">
        <v>870</v>
      </c>
      <c r="BF423" t="str">
        <f>HYPERLINK("http://dx.doi.org/10.3892/ol.2020.11831","http://dx.doi.org/10.3892/ol.2020.11831")</f>
        <v>http://dx.doi.org/10.3892/ol.2020.11831</v>
      </c>
      <c r="BG423" t="s">
        <v>74</v>
      </c>
      <c r="BH423" t="s">
        <v>74</v>
      </c>
      <c r="BI423" t="s">
        <v>74</v>
      </c>
      <c r="BJ423" t="s">
        <v>146</v>
      </c>
      <c r="BK423" t="s">
        <v>112</v>
      </c>
      <c r="BL423" t="s">
        <v>146</v>
      </c>
      <c r="BM423" t="s">
        <v>74</v>
      </c>
      <c r="BN423">
        <v>32782600</v>
      </c>
      <c r="BO423" t="s">
        <v>74</v>
      </c>
      <c r="BP423" t="s">
        <v>74</v>
      </c>
      <c r="BQ423" t="s">
        <v>74</v>
      </c>
      <c r="BR423" t="s">
        <v>93</v>
      </c>
      <c r="BS423" t="s">
        <v>871</v>
      </c>
      <c r="BT423" t="str">
        <f>HYPERLINK("https%3A%2F%2Fwww.webofscience.com%2Fwos%2Fwoscc%2Ffull-record%2FWOS:000563938300081","View Full Record in Web of Science")</f>
        <v>View Full Record in Web of Science</v>
      </c>
    </row>
    <row r="424" spans="1:72" x14ac:dyDescent="0.15">
      <c r="A424" t="s">
        <v>72</v>
      </c>
      <c r="B424" t="s">
        <v>2167</v>
      </c>
      <c r="C424" t="s">
        <v>74</v>
      </c>
      <c r="D424" t="s">
        <v>74</v>
      </c>
      <c r="E424" t="s">
        <v>74</v>
      </c>
      <c r="F424" t="s">
        <v>2168</v>
      </c>
      <c r="G424" t="s">
        <v>74</v>
      </c>
      <c r="H424" t="s">
        <v>74</v>
      </c>
      <c r="I424" t="s">
        <v>2169</v>
      </c>
      <c r="J424" t="s">
        <v>2170</v>
      </c>
      <c r="K424" t="s">
        <v>74</v>
      </c>
      <c r="L424" t="s">
        <v>74</v>
      </c>
      <c r="M424" t="s">
        <v>74</v>
      </c>
      <c r="N424" t="s">
        <v>78</v>
      </c>
      <c r="O424" t="s">
        <v>74</v>
      </c>
      <c r="P424" t="s">
        <v>74</v>
      </c>
      <c r="Q424" t="s">
        <v>74</v>
      </c>
      <c r="R424" t="s">
        <v>74</v>
      </c>
      <c r="S424" t="s">
        <v>74</v>
      </c>
      <c r="T424" t="s">
        <v>2171</v>
      </c>
      <c r="U424" t="s">
        <v>2172</v>
      </c>
      <c r="V424" t="s">
        <v>2173</v>
      </c>
      <c r="W424" t="s">
        <v>2174</v>
      </c>
      <c r="X424" t="s">
        <v>2175</v>
      </c>
      <c r="Y424" t="s">
        <v>2176</v>
      </c>
      <c r="Z424" t="s">
        <v>2177</v>
      </c>
      <c r="AA424" t="s">
        <v>2178</v>
      </c>
      <c r="AB424" t="s">
        <v>2179</v>
      </c>
      <c r="AC424" t="s">
        <v>74</v>
      </c>
      <c r="AD424" t="s">
        <v>74</v>
      </c>
      <c r="AE424" t="s">
        <v>74</v>
      </c>
      <c r="AF424" t="s">
        <v>74</v>
      </c>
      <c r="AG424">
        <v>40</v>
      </c>
      <c r="AH424">
        <v>9</v>
      </c>
      <c r="AI424">
        <v>9</v>
      </c>
      <c r="AJ424">
        <v>0</v>
      </c>
      <c r="AK424">
        <v>11</v>
      </c>
      <c r="AL424" t="s">
        <v>74</v>
      </c>
      <c r="AM424" t="s">
        <v>74</v>
      </c>
      <c r="AN424" t="s">
        <v>74</v>
      </c>
      <c r="AO424" t="s">
        <v>2180</v>
      </c>
      <c r="AP424" t="s">
        <v>2181</v>
      </c>
      <c r="AQ424" t="s">
        <v>74</v>
      </c>
      <c r="AR424" t="s">
        <v>74</v>
      </c>
      <c r="AS424" t="s">
        <v>74</v>
      </c>
      <c r="AT424" t="s">
        <v>171</v>
      </c>
      <c r="AU424">
        <v>2015</v>
      </c>
      <c r="AV424">
        <v>36</v>
      </c>
      <c r="AW424">
        <v>12</v>
      </c>
      <c r="AX424" t="s">
        <v>74</v>
      </c>
      <c r="AY424" t="s">
        <v>74</v>
      </c>
      <c r="AZ424" t="s">
        <v>74</v>
      </c>
      <c r="BA424" t="s">
        <v>74</v>
      </c>
      <c r="BB424">
        <v>9649</v>
      </c>
      <c r="BC424">
        <v>9659</v>
      </c>
      <c r="BD424" t="s">
        <v>74</v>
      </c>
      <c r="BE424" t="s">
        <v>2182</v>
      </c>
      <c r="BF424" t="str">
        <f>HYPERLINK("http://dx.doi.org/10.1007/s13277-015-3711-9","http://dx.doi.org/10.1007/s13277-015-3711-9")</f>
        <v>http://dx.doi.org/10.1007/s13277-015-3711-9</v>
      </c>
      <c r="BG424" t="s">
        <v>74</v>
      </c>
      <c r="BH424" t="s">
        <v>74</v>
      </c>
      <c r="BI424" t="s">
        <v>74</v>
      </c>
      <c r="BJ424" t="s">
        <v>146</v>
      </c>
      <c r="BK424" t="s">
        <v>112</v>
      </c>
      <c r="BL424" t="s">
        <v>146</v>
      </c>
      <c r="BM424" t="s">
        <v>74</v>
      </c>
      <c r="BN424">
        <v>26150337</v>
      </c>
      <c r="BO424" t="s">
        <v>74</v>
      </c>
      <c r="BP424" t="s">
        <v>74</v>
      </c>
      <c r="BQ424" t="s">
        <v>74</v>
      </c>
      <c r="BR424" t="s">
        <v>93</v>
      </c>
      <c r="BS424" t="s">
        <v>2183</v>
      </c>
      <c r="BT424" t="str">
        <f>HYPERLINK("https%3A%2F%2Fwww.webofscience.com%2Fwos%2Fwoscc%2Ffull-record%2FWOS:000367329300060","View Full Record in Web of Science")</f>
        <v>View Full Record in Web of Science</v>
      </c>
    </row>
    <row r="425" spans="1:72" x14ac:dyDescent="0.15">
      <c r="A425" t="s">
        <v>72</v>
      </c>
      <c r="B425" t="s">
        <v>2468</v>
      </c>
      <c r="C425" t="s">
        <v>74</v>
      </c>
      <c r="D425" t="s">
        <v>74</v>
      </c>
      <c r="E425" t="s">
        <v>74</v>
      </c>
      <c r="F425" t="s">
        <v>2469</v>
      </c>
      <c r="G425" t="s">
        <v>74</v>
      </c>
      <c r="H425" t="s">
        <v>74</v>
      </c>
      <c r="I425" t="s">
        <v>2470</v>
      </c>
      <c r="J425" t="s">
        <v>667</v>
      </c>
      <c r="K425" t="s">
        <v>74</v>
      </c>
      <c r="L425" t="s">
        <v>74</v>
      </c>
      <c r="M425" t="s">
        <v>74</v>
      </c>
      <c r="N425" t="s">
        <v>78</v>
      </c>
      <c r="O425" t="s">
        <v>74</v>
      </c>
      <c r="P425" t="s">
        <v>74</v>
      </c>
      <c r="Q425" t="s">
        <v>74</v>
      </c>
      <c r="R425" t="s">
        <v>74</v>
      </c>
      <c r="S425" t="s">
        <v>74</v>
      </c>
      <c r="T425" t="s">
        <v>2471</v>
      </c>
      <c r="U425" t="s">
        <v>74</v>
      </c>
      <c r="V425" t="s">
        <v>2472</v>
      </c>
      <c r="W425" t="s">
        <v>2473</v>
      </c>
      <c r="X425" t="s">
        <v>2474</v>
      </c>
      <c r="Y425" t="s">
        <v>2475</v>
      </c>
      <c r="Z425" t="s">
        <v>2476</v>
      </c>
      <c r="AA425" t="s">
        <v>74</v>
      </c>
      <c r="AB425" t="s">
        <v>2477</v>
      </c>
      <c r="AC425" t="s">
        <v>74</v>
      </c>
      <c r="AD425" t="s">
        <v>74</v>
      </c>
      <c r="AE425" t="s">
        <v>74</v>
      </c>
      <c r="AF425" t="s">
        <v>74</v>
      </c>
      <c r="AG425">
        <v>52</v>
      </c>
      <c r="AH425">
        <v>9</v>
      </c>
      <c r="AI425">
        <v>9</v>
      </c>
      <c r="AJ425">
        <v>1</v>
      </c>
      <c r="AK425">
        <v>11</v>
      </c>
      <c r="AL425" t="s">
        <v>74</v>
      </c>
      <c r="AM425" t="s">
        <v>74</v>
      </c>
      <c r="AN425" t="s">
        <v>74</v>
      </c>
      <c r="AO425" t="s">
        <v>74</v>
      </c>
      <c r="AP425" t="s">
        <v>677</v>
      </c>
      <c r="AQ425" t="s">
        <v>74</v>
      </c>
      <c r="AR425" t="s">
        <v>74</v>
      </c>
      <c r="AS425" t="s">
        <v>74</v>
      </c>
      <c r="AT425" t="s">
        <v>640</v>
      </c>
      <c r="AU425">
        <v>2021</v>
      </c>
      <c r="AV425">
        <v>22</v>
      </c>
      <c r="AW425">
        <v>3</v>
      </c>
      <c r="AX425" t="s">
        <v>74</v>
      </c>
      <c r="AY425" t="s">
        <v>74</v>
      </c>
      <c r="AZ425" t="s">
        <v>74</v>
      </c>
      <c r="BA425" t="s">
        <v>74</v>
      </c>
      <c r="BB425" t="s">
        <v>74</v>
      </c>
      <c r="BC425" t="s">
        <v>74</v>
      </c>
      <c r="BD425">
        <v>1115</v>
      </c>
      <c r="BE425" t="s">
        <v>2478</v>
      </c>
      <c r="BF425" t="str">
        <f>HYPERLINK("http://dx.doi.org/10.3390/ijms22031115","http://dx.doi.org/10.3390/ijms22031115")</f>
        <v>http://dx.doi.org/10.3390/ijms22031115</v>
      </c>
      <c r="BG425" t="s">
        <v>74</v>
      </c>
      <c r="BH425" t="s">
        <v>74</v>
      </c>
      <c r="BI425" t="s">
        <v>74</v>
      </c>
      <c r="BJ425" t="s">
        <v>680</v>
      </c>
      <c r="BK425" t="s">
        <v>112</v>
      </c>
      <c r="BL425" t="s">
        <v>681</v>
      </c>
      <c r="BM425" t="s">
        <v>74</v>
      </c>
      <c r="BN425">
        <v>33498689</v>
      </c>
      <c r="BO425" t="s">
        <v>74</v>
      </c>
      <c r="BP425" t="s">
        <v>74</v>
      </c>
      <c r="BQ425" t="s">
        <v>74</v>
      </c>
      <c r="BR425" t="s">
        <v>93</v>
      </c>
      <c r="BS425" t="s">
        <v>2479</v>
      </c>
      <c r="BT425" t="str">
        <f>HYPERLINK("https%3A%2F%2Fwww.webofscience.com%2Fwos%2Fwoscc%2Ffull-record%2FWOS:000615313600001","View Full Record in Web of Science")</f>
        <v>View Full Record in Web of Science</v>
      </c>
    </row>
    <row r="426" spans="1:72" x14ac:dyDescent="0.15">
      <c r="A426" t="s">
        <v>72</v>
      </c>
      <c r="B426" t="s">
        <v>2755</v>
      </c>
      <c r="C426" t="s">
        <v>74</v>
      </c>
      <c r="D426" t="s">
        <v>74</v>
      </c>
      <c r="E426" t="s">
        <v>74</v>
      </c>
      <c r="F426" t="s">
        <v>2756</v>
      </c>
      <c r="G426" t="s">
        <v>74</v>
      </c>
      <c r="H426" t="s">
        <v>74</v>
      </c>
      <c r="I426" t="s">
        <v>2757</v>
      </c>
      <c r="J426" t="s">
        <v>2758</v>
      </c>
      <c r="K426" t="s">
        <v>74</v>
      </c>
      <c r="L426" t="s">
        <v>74</v>
      </c>
      <c r="M426" t="s">
        <v>74</v>
      </c>
      <c r="N426" t="s">
        <v>78</v>
      </c>
      <c r="O426" t="s">
        <v>74</v>
      </c>
      <c r="P426" t="s">
        <v>74</v>
      </c>
      <c r="Q426" t="s">
        <v>74</v>
      </c>
      <c r="R426" t="s">
        <v>74</v>
      </c>
      <c r="S426" t="s">
        <v>74</v>
      </c>
      <c r="T426" t="s">
        <v>2759</v>
      </c>
      <c r="U426" t="s">
        <v>2760</v>
      </c>
      <c r="V426" t="s">
        <v>2761</v>
      </c>
      <c r="W426" t="s">
        <v>2762</v>
      </c>
      <c r="X426" t="s">
        <v>2763</v>
      </c>
      <c r="Y426" t="s">
        <v>2764</v>
      </c>
      <c r="Z426" t="s">
        <v>2765</v>
      </c>
      <c r="AA426" t="s">
        <v>74</v>
      </c>
      <c r="AB426" t="s">
        <v>2766</v>
      </c>
      <c r="AC426" t="s">
        <v>74</v>
      </c>
      <c r="AD426" t="s">
        <v>74</v>
      </c>
      <c r="AE426" t="s">
        <v>74</v>
      </c>
      <c r="AF426" t="s">
        <v>74</v>
      </c>
      <c r="AG426">
        <v>36</v>
      </c>
      <c r="AH426">
        <v>9</v>
      </c>
      <c r="AI426">
        <v>9</v>
      </c>
      <c r="AJ426">
        <v>3</v>
      </c>
      <c r="AK426">
        <v>11</v>
      </c>
      <c r="AL426" t="s">
        <v>74</v>
      </c>
      <c r="AM426" t="s">
        <v>74</v>
      </c>
      <c r="AN426" t="s">
        <v>74</v>
      </c>
      <c r="AO426" t="s">
        <v>74</v>
      </c>
      <c r="AP426" t="s">
        <v>2767</v>
      </c>
      <c r="AQ426" t="s">
        <v>74</v>
      </c>
      <c r="AR426" t="s">
        <v>74</v>
      </c>
      <c r="AS426" t="s">
        <v>74</v>
      </c>
      <c r="AT426" t="s">
        <v>2768</v>
      </c>
      <c r="AU426">
        <v>2019</v>
      </c>
      <c r="AV426">
        <v>10</v>
      </c>
      <c r="AW426" t="s">
        <v>74</v>
      </c>
      <c r="AX426" t="s">
        <v>74</v>
      </c>
      <c r="AY426" t="s">
        <v>74</v>
      </c>
      <c r="AZ426" t="s">
        <v>74</v>
      </c>
      <c r="BA426" t="s">
        <v>74</v>
      </c>
      <c r="BB426" t="s">
        <v>74</v>
      </c>
      <c r="BC426" t="s">
        <v>74</v>
      </c>
      <c r="BD426">
        <v>1273</v>
      </c>
      <c r="BE426" t="s">
        <v>2769</v>
      </c>
      <c r="BF426" t="str">
        <f>HYPERLINK("http://dx.doi.org/10.3389/fgene.2019.01273","http://dx.doi.org/10.3389/fgene.2019.01273")</f>
        <v>http://dx.doi.org/10.3389/fgene.2019.01273</v>
      </c>
      <c r="BG426" t="s">
        <v>74</v>
      </c>
      <c r="BH426" t="s">
        <v>74</v>
      </c>
      <c r="BI426" t="s">
        <v>74</v>
      </c>
      <c r="BJ426" t="s">
        <v>349</v>
      </c>
      <c r="BK426" t="s">
        <v>112</v>
      </c>
      <c r="BL426" t="s">
        <v>349</v>
      </c>
      <c r="BM426" t="s">
        <v>74</v>
      </c>
      <c r="BN426">
        <v>31921310</v>
      </c>
      <c r="BO426" t="s">
        <v>74</v>
      </c>
      <c r="BP426" t="s">
        <v>74</v>
      </c>
      <c r="BQ426" t="s">
        <v>74</v>
      </c>
      <c r="BR426" t="s">
        <v>93</v>
      </c>
      <c r="BS426" t="s">
        <v>2770</v>
      </c>
      <c r="BT426" t="str">
        <f>HYPERLINK("https%3A%2F%2Fwww.webofscience.com%2Fwos%2Fwoscc%2Ffull-record%2FWOS:000504977100001","View Full Record in Web of Science")</f>
        <v>View Full Record in Web of Science</v>
      </c>
    </row>
    <row r="427" spans="1:72" x14ac:dyDescent="0.15">
      <c r="A427" t="s">
        <v>72</v>
      </c>
      <c r="B427" t="s">
        <v>2771</v>
      </c>
      <c r="C427" t="s">
        <v>74</v>
      </c>
      <c r="D427" t="s">
        <v>74</v>
      </c>
      <c r="E427" t="s">
        <v>74</v>
      </c>
      <c r="F427" t="s">
        <v>2772</v>
      </c>
      <c r="G427" t="s">
        <v>74</v>
      </c>
      <c r="H427" t="s">
        <v>74</v>
      </c>
      <c r="I427" t="s">
        <v>2773</v>
      </c>
      <c r="J427" t="s">
        <v>2774</v>
      </c>
      <c r="K427" t="s">
        <v>74</v>
      </c>
      <c r="L427" t="s">
        <v>74</v>
      </c>
      <c r="M427" t="s">
        <v>74</v>
      </c>
      <c r="N427" t="s">
        <v>78</v>
      </c>
      <c r="O427" t="s">
        <v>74</v>
      </c>
      <c r="P427" t="s">
        <v>74</v>
      </c>
      <c r="Q427" t="s">
        <v>74</v>
      </c>
      <c r="R427" t="s">
        <v>74</v>
      </c>
      <c r="S427" t="s">
        <v>74</v>
      </c>
      <c r="T427" t="s">
        <v>2775</v>
      </c>
      <c r="U427" t="s">
        <v>2776</v>
      </c>
      <c r="V427" t="s">
        <v>2777</v>
      </c>
      <c r="W427" t="s">
        <v>2778</v>
      </c>
      <c r="X427" t="s">
        <v>2779</v>
      </c>
      <c r="Y427" t="s">
        <v>2780</v>
      </c>
      <c r="Z427" t="s">
        <v>2781</v>
      </c>
      <c r="AA427" t="s">
        <v>2782</v>
      </c>
      <c r="AB427" t="s">
        <v>2783</v>
      </c>
      <c r="AC427" t="s">
        <v>74</v>
      </c>
      <c r="AD427" t="s">
        <v>74</v>
      </c>
      <c r="AE427" t="s">
        <v>74</v>
      </c>
      <c r="AF427" t="s">
        <v>74</v>
      </c>
      <c r="AG427">
        <v>82</v>
      </c>
      <c r="AH427">
        <v>9</v>
      </c>
      <c r="AI427">
        <v>9</v>
      </c>
      <c r="AJ427">
        <v>2</v>
      </c>
      <c r="AK427">
        <v>4</v>
      </c>
      <c r="AL427" t="s">
        <v>74</v>
      </c>
      <c r="AM427" t="s">
        <v>74</v>
      </c>
      <c r="AN427" t="s">
        <v>74</v>
      </c>
      <c r="AO427" t="s">
        <v>2784</v>
      </c>
      <c r="AP427" t="s">
        <v>74</v>
      </c>
      <c r="AQ427" t="s">
        <v>74</v>
      </c>
      <c r="AR427" t="s">
        <v>74</v>
      </c>
      <c r="AS427" t="s">
        <v>74</v>
      </c>
      <c r="AT427" t="s">
        <v>74</v>
      </c>
      <c r="AU427">
        <v>2021</v>
      </c>
      <c r="AV427">
        <v>16</v>
      </c>
      <c r="AW427" t="s">
        <v>74</v>
      </c>
      <c r="AX427" t="s">
        <v>74</v>
      </c>
      <c r="AY427" t="s">
        <v>74</v>
      </c>
      <c r="AZ427" t="s">
        <v>74</v>
      </c>
      <c r="BA427" t="s">
        <v>74</v>
      </c>
      <c r="BB427">
        <v>3141</v>
      </c>
      <c r="BC427">
        <v>3160</v>
      </c>
      <c r="BD427" t="s">
        <v>74</v>
      </c>
      <c r="BE427" t="s">
        <v>2785</v>
      </c>
      <c r="BF427" t="str">
        <f>HYPERLINK("http://dx.doi.org/10.2147/IJN.S303391","http://dx.doi.org/10.2147/IJN.S303391")</f>
        <v>http://dx.doi.org/10.2147/IJN.S303391</v>
      </c>
      <c r="BG427" t="s">
        <v>74</v>
      </c>
      <c r="BH427" t="s">
        <v>74</v>
      </c>
      <c r="BI427" t="s">
        <v>74</v>
      </c>
      <c r="BJ427" t="s">
        <v>2786</v>
      </c>
      <c r="BK427" t="s">
        <v>112</v>
      </c>
      <c r="BL427" t="s">
        <v>2787</v>
      </c>
      <c r="BM427" t="s">
        <v>74</v>
      </c>
      <c r="BN427">
        <v>33994784</v>
      </c>
      <c r="BO427" t="s">
        <v>74</v>
      </c>
      <c r="BP427" t="s">
        <v>74</v>
      </c>
      <c r="BQ427" t="s">
        <v>74</v>
      </c>
      <c r="BR427" t="s">
        <v>93</v>
      </c>
      <c r="BS427" t="s">
        <v>2788</v>
      </c>
      <c r="BT427" t="str">
        <f>HYPERLINK("https%3A%2F%2Fwww.webofscience.com%2Fwos%2Fwoscc%2Ffull-record%2FWOS:000648450100001","View Full Record in Web of Science")</f>
        <v>View Full Record in Web of Science</v>
      </c>
    </row>
    <row r="428" spans="1:72" x14ac:dyDescent="0.15">
      <c r="A428" t="s">
        <v>72</v>
      </c>
      <c r="B428" t="s">
        <v>2817</v>
      </c>
      <c r="C428" t="s">
        <v>74</v>
      </c>
      <c r="D428" t="s">
        <v>74</v>
      </c>
      <c r="E428" t="s">
        <v>74</v>
      </c>
      <c r="F428" t="s">
        <v>2818</v>
      </c>
      <c r="G428" t="s">
        <v>74</v>
      </c>
      <c r="H428" t="s">
        <v>74</v>
      </c>
      <c r="I428" t="s">
        <v>2819</v>
      </c>
      <c r="J428" t="s">
        <v>2820</v>
      </c>
      <c r="K428" t="s">
        <v>74</v>
      </c>
      <c r="L428" t="s">
        <v>74</v>
      </c>
      <c r="M428" t="s">
        <v>74</v>
      </c>
      <c r="N428" t="s">
        <v>78</v>
      </c>
      <c r="O428" t="s">
        <v>74</v>
      </c>
      <c r="P428" t="s">
        <v>74</v>
      </c>
      <c r="Q428" t="s">
        <v>74</v>
      </c>
      <c r="R428" t="s">
        <v>74</v>
      </c>
      <c r="S428" t="s">
        <v>74</v>
      </c>
      <c r="T428" t="s">
        <v>2821</v>
      </c>
      <c r="U428" t="s">
        <v>2822</v>
      </c>
      <c r="V428" t="s">
        <v>2823</v>
      </c>
      <c r="W428" t="s">
        <v>2824</v>
      </c>
      <c r="X428" t="s">
        <v>2825</v>
      </c>
      <c r="Y428" t="s">
        <v>2826</v>
      </c>
      <c r="Z428" t="s">
        <v>2827</v>
      </c>
      <c r="AA428" t="s">
        <v>2828</v>
      </c>
      <c r="AB428" t="s">
        <v>2829</v>
      </c>
      <c r="AC428" t="s">
        <v>74</v>
      </c>
      <c r="AD428" t="s">
        <v>74</v>
      </c>
      <c r="AE428" t="s">
        <v>74</v>
      </c>
      <c r="AF428" t="s">
        <v>74</v>
      </c>
      <c r="AG428">
        <v>54</v>
      </c>
      <c r="AH428">
        <v>9</v>
      </c>
      <c r="AI428">
        <v>9</v>
      </c>
      <c r="AJ428">
        <v>0</v>
      </c>
      <c r="AK428">
        <v>22</v>
      </c>
      <c r="AL428" t="s">
        <v>74</v>
      </c>
      <c r="AM428" t="s">
        <v>74</v>
      </c>
      <c r="AN428" t="s">
        <v>74</v>
      </c>
      <c r="AO428" t="s">
        <v>2830</v>
      </c>
      <c r="AP428" t="s">
        <v>2831</v>
      </c>
      <c r="AQ428" t="s">
        <v>74</v>
      </c>
      <c r="AR428" t="s">
        <v>74</v>
      </c>
      <c r="AS428" t="s">
        <v>74</v>
      </c>
      <c r="AT428" t="s">
        <v>171</v>
      </c>
      <c r="AU428">
        <v>2018</v>
      </c>
      <c r="AV428">
        <v>16</v>
      </c>
      <c r="AW428">
        <v>4</v>
      </c>
      <c r="AX428" t="s">
        <v>74</v>
      </c>
      <c r="AY428" t="s">
        <v>74</v>
      </c>
      <c r="AZ428" t="s">
        <v>74</v>
      </c>
      <c r="BA428" t="s">
        <v>74</v>
      </c>
      <c r="BB428">
        <v>489</v>
      </c>
      <c r="BC428">
        <v>496</v>
      </c>
      <c r="BD428" t="s">
        <v>74</v>
      </c>
      <c r="BE428" t="s">
        <v>2832</v>
      </c>
      <c r="BF428" t="str">
        <f>HYPERLINK("http://dx.doi.org/10.1111/vco.12405","http://dx.doi.org/10.1111/vco.12405")</f>
        <v>http://dx.doi.org/10.1111/vco.12405</v>
      </c>
      <c r="BG428" t="s">
        <v>74</v>
      </c>
      <c r="BH428" t="s">
        <v>74</v>
      </c>
      <c r="BI428" t="s">
        <v>74</v>
      </c>
      <c r="BJ428" t="s">
        <v>987</v>
      </c>
      <c r="BK428" t="s">
        <v>112</v>
      </c>
      <c r="BL428" t="s">
        <v>987</v>
      </c>
      <c r="BM428" t="s">
        <v>74</v>
      </c>
      <c r="BN428">
        <v>29851284</v>
      </c>
      <c r="BO428" t="s">
        <v>74</v>
      </c>
      <c r="BP428" t="s">
        <v>74</v>
      </c>
      <c r="BQ428" t="s">
        <v>74</v>
      </c>
      <c r="BR428" t="s">
        <v>93</v>
      </c>
      <c r="BS428" t="s">
        <v>2833</v>
      </c>
      <c r="BT428" t="str">
        <f>HYPERLINK("https%3A%2F%2Fwww.webofscience.com%2Fwos%2Fwoscc%2Ffull-record%2FWOS:000450018900009","View Full Record in Web of Science")</f>
        <v>View Full Record in Web of Science</v>
      </c>
    </row>
    <row r="429" spans="1:72" x14ac:dyDescent="0.15">
      <c r="A429" t="s">
        <v>72</v>
      </c>
      <c r="B429" t="s">
        <v>3079</v>
      </c>
      <c r="C429" t="s">
        <v>74</v>
      </c>
      <c r="D429" t="s">
        <v>74</v>
      </c>
      <c r="E429" t="s">
        <v>74</v>
      </c>
      <c r="F429" t="s">
        <v>3080</v>
      </c>
      <c r="G429" t="s">
        <v>74</v>
      </c>
      <c r="H429" t="s">
        <v>74</v>
      </c>
      <c r="I429" t="s">
        <v>3081</v>
      </c>
      <c r="J429" t="s">
        <v>3082</v>
      </c>
      <c r="K429" t="s">
        <v>74</v>
      </c>
      <c r="L429" t="s">
        <v>74</v>
      </c>
      <c r="M429" t="s">
        <v>74</v>
      </c>
      <c r="N429" t="s">
        <v>78</v>
      </c>
      <c r="O429" t="s">
        <v>74</v>
      </c>
      <c r="P429" t="s">
        <v>74</v>
      </c>
      <c r="Q429" t="s">
        <v>74</v>
      </c>
      <c r="R429" t="s">
        <v>74</v>
      </c>
      <c r="S429" t="s">
        <v>74</v>
      </c>
      <c r="T429" t="s">
        <v>3083</v>
      </c>
      <c r="U429" t="s">
        <v>3084</v>
      </c>
      <c r="V429" t="s">
        <v>3085</v>
      </c>
      <c r="W429" t="s">
        <v>3086</v>
      </c>
      <c r="X429" t="s">
        <v>3087</v>
      </c>
      <c r="Y429" t="s">
        <v>3088</v>
      </c>
      <c r="Z429" t="s">
        <v>3089</v>
      </c>
      <c r="AA429" t="s">
        <v>74</v>
      </c>
      <c r="AB429" t="s">
        <v>3090</v>
      </c>
      <c r="AC429" t="s">
        <v>74</v>
      </c>
      <c r="AD429" t="s">
        <v>74</v>
      </c>
      <c r="AE429" t="s">
        <v>74</v>
      </c>
      <c r="AF429" t="s">
        <v>74</v>
      </c>
      <c r="AG429">
        <v>45</v>
      </c>
      <c r="AH429">
        <v>9</v>
      </c>
      <c r="AI429">
        <v>9</v>
      </c>
      <c r="AJ429">
        <v>1</v>
      </c>
      <c r="AK429">
        <v>14</v>
      </c>
      <c r="AL429" t="s">
        <v>74</v>
      </c>
      <c r="AM429" t="s">
        <v>74</v>
      </c>
      <c r="AN429" t="s">
        <v>74</v>
      </c>
      <c r="AO429" t="s">
        <v>3091</v>
      </c>
      <c r="AP429" t="s">
        <v>3092</v>
      </c>
      <c r="AQ429" t="s">
        <v>74</v>
      </c>
      <c r="AR429" t="s">
        <v>74</v>
      </c>
      <c r="AS429" t="s">
        <v>74</v>
      </c>
      <c r="AT429" t="s">
        <v>236</v>
      </c>
      <c r="AU429">
        <v>2020</v>
      </c>
      <c r="AV429">
        <v>55</v>
      </c>
      <c r="AW429" t="s">
        <v>74</v>
      </c>
      <c r="AX429" t="s">
        <v>74</v>
      </c>
      <c r="AY429" t="s">
        <v>74</v>
      </c>
      <c r="AZ429" t="s">
        <v>74</v>
      </c>
      <c r="BA429" t="s">
        <v>74</v>
      </c>
      <c r="BB429">
        <v>100</v>
      </c>
      <c r="BC429">
        <v>110</v>
      </c>
      <c r="BD429" t="s">
        <v>74</v>
      </c>
      <c r="BE429" t="s">
        <v>3093</v>
      </c>
      <c r="BF429" t="str">
        <f>HYPERLINK("http://dx.doi.org/10.1016/j.mito.2020.09.006","http://dx.doi.org/10.1016/j.mito.2020.09.006")</f>
        <v>http://dx.doi.org/10.1016/j.mito.2020.09.006</v>
      </c>
      <c r="BG429" t="s">
        <v>74</v>
      </c>
      <c r="BH429" t="s">
        <v>74</v>
      </c>
      <c r="BI429" t="s">
        <v>74</v>
      </c>
      <c r="BJ429" t="s">
        <v>3094</v>
      </c>
      <c r="BK429" t="s">
        <v>112</v>
      </c>
      <c r="BL429" t="s">
        <v>3094</v>
      </c>
      <c r="BM429" t="s">
        <v>74</v>
      </c>
      <c r="BN429">
        <v>32980480</v>
      </c>
      <c r="BO429" t="s">
        <v>74</v>
      </c>
      <c r="BP429" t="s">
        <v>74</v>
      </c>
      <c r="BQ429" t="s">
        <v>74</v>
      </c>
      <c r="BR429" t="s">
        <v>93</v>
      </c>
      <c r="BS429" t="s">
        <v>3095</v>
      </c>
      <c r="BT429" t="str">
        <f>HYPERLINK("https%3A%2F%2Fwww.webofscience.com%2Fwos%2Fwoscc%2Ffull-record%2FWOS:000606328400002","View Full Record in Web of Science")</f>
        <v>View Full Record in Web of Science</v>
      </c>
    </row>
    <row r="430" spans="1:72" x14ac:dyDescent="0.15">
      <c r="A430" t="s">
        <v>72</v>
      </c>
      <c r="B430" t="s">
        <v>3113</v>
      </c>
      <c r="C430" t="s">
        <v>74</v>
      </c>
      <c r="D430" t="s">
        <v>74</v>
      </c>
      <c r="E430" t="s">
        <v>74</v>
      </c>
      <c r="F430" t="s">
        <v>3114</v>
      </c>
      <c r="G430" t="s">
        <v>74</v>
      </c>
      <c r="H430" t="s">
        <v>74</v>
      </c>
      <c r="I430" t="s">
        <v>3115</v>
      </c>
      <c r="J430" t="s">
        <v>1828</v>
      </c>
      <c r="K430" t="s">
        <v>74</v>
      </c>
      <c r="L430" t="s">
        <v>74</v>
      </c>
      <c r="M430" t="s">
        <v>74</v>
      </c>
      <c r="N430" t="s">
        <v>78</v>
      </c>
      <c r="O430" t="s">
        <v>74</v>
      </c>
      <c r="P430" t="s">
        <v>74</v>
      </c>
      <c r="Q430" t="s">
        <v>74</v>
      </c>
      <c r="R430" t="s">
        <v>74</v>
      </c>
      <c r="S430" t="s">
        <v>74</v>
      </c>
      <c r="T430" t="s">
        <v>74</v>
      </c>
      <c r="U430" t="s">
        <v>74</v>
      </c>
      <c r="V430" t="s">
        <v>3116</v>
      </c>
      <c r="W430" t="s">
        <v>3117</v>
      </c>
      <c r="X430" t="s">
        <v>3118</v>
      </c>
      <c r="Y430" t="s">
        <v>3119</v>
      </c>
      <c r="Z430" t="s">
        <v>3120</v>
      </c>
      <c r="AA430" t="s">
        <v>3121</v>
      </c>
      <c r="AB430" t="s">
        <v>3122</v>
      </c>
      <c r="AC430" t="s">
        <v>74</v>
      </c>
      <c r="AD430" t="s">
        <v>74</v>
      </c>
      <c r="AE430" t="s">
        <v>74</v>
      </c>
      <c r="AF430" t="s">
        <v>74</v>
      </c>
      <c r="AG430">
        <v>42</v>
      </c>
      <c r="AH430">
        <v>9</v>
      </c>
      <c r="AI430">
        <v>9</v>
      </c>
      <c r="AJ430">
        <v>3</v>
      </c>
      <c r="AK430">
        <v>6</v>
      </c>
      <c r="AL430" t="s">
        <v>74</v>
      </c>
      <c r="AM430" t="s">
        <v>74</v>
      </c>
      <c r="AN430" t="s">
        <v>74</v>
      </c>
      <c r="AO430" t="s">
        <v>1837</v>
      </c>
      <c r="AP430" t="s">
        <v>74</v>
      </c>
      <c r="AQ430" t="s">
        <v>74</v>
      </c>
      <c r="AR430" t="s">
        <v>74</v>
      </c>
      <c r="AS430" t="s">
        <v>74</v>
      </c>
      <c r="AT430" t="s">
        <v>3123</v>
      </c>
      <c r="AU430">
        <v>2021</v>
      </c>
      <c r="AV430">
        <v>11</v>
      </c>
      <c r="AW430">
        <v>1</v>
      </c>
      <c r="AX430" t="s">
        <v>74</v>
      </c>
      <c r="AY430" t="s">
        <v>74</v>
      </c>
      <c r="AZ430" t="s">
        <v>74</v>
      </c>
      <c r="BA430" t="s">
        <v>74</v>
      </c>
      <c r="BB430" t="s">
        <v>74</v>
      </c>
      <c r="BC430" t="s">
        <v>74</v>
      </c>
      <c r="BD430">
        <v>3712</v>
      </c>
      <c r="BE430" t="s">
        <v>3124</v>
      </c>
      <c r="BF430" t="str">
        <f>HYPERLINK("http://dx.doi.org/10.1038/s41598-021-83132-0","http://dx.doi.org/10.1038/s41598-021-83132-0")</f>
        <v>http://dx.doi.org/10.1038/s41598-021-83132-0</v>
      </c>
      <c r="BG430" t="s">
        <v>74</v>
      </c>
      <c r="BH430" t="s">
        <v>74</v>
      </c>
      <c r="BI430" t="s">
        <v>74</v>
      </c>
      <c r="BJ430" t="s">
        <v>545</v>
      </c>
      <c r="BK430" t="s">
        <v>112</v>
      </c>
      <c r="BL430" t="s">
        <v>546</v>
      </c>
      <c r="BM430" t="s">
        <v>74</v>
      </c>
      <c r="BN430">
        <v>33580122</v>
      </c>
      <c r="BO430" t="s">
        <v>74</v>
      </c>
      <c r="BP430" t="s">
        <v>74</v>
      </c>
      <c r="BQ430" t="s">
        <v>74</v>
      </c>
      <c r="BR430" t="s">
        <v>93</v>
      </c>
      <c r="BS430" t="s">
        <v>3125</v>
      </c>
      <c r="BT430" t="str">
        <f>HYPERLINK("https%3A%2F%2Fwww.webofscience.com%2Fwos%2Fwoscc%2Ffull-record%2FWOS:000620250900004","View Full Record in Web of Science")</f>
        <v>View Full Record in Web of Science</v>
      </c>
    </row>
    <row r="431" spans="1:72" x14ac:dyDescent="0.15">
      <c r="A431" t="s">
        <v>72</v>
      </c>
      <c r="B431" t="s">
        <v>3416</v>
      </c>
      <c r="C431" t="s">
        <v>74</v>
      </c>
      <c r="D431" t="s">
        <v>74</v>
      </c>
      <c r="E431" t="s">
        <v>74</v>
      </c>
      <c r="F431" t="s">
        <v>3417</v>
      </c>
      <c r="G431" t="s">
        <v>74</v>
      </c>
      <c r="H431" t="s">
        <v>74</v>
      </c>
      <c r="I431" t="s">
        <v>3418</v>
      </c>
      <c r="J431" t="s">
        <v>151</v>
      </c>
      <c r="K431" t="s">
        <v>74</v>
      </c>
      <c r="L431" t="s">
        <v>74</v>
      </c>
      <c r="M431" t="s">
        <v>74</v>
      </c>
      <c r="N431" t="s">
        <v>78</v>
      </c>
      <c r="O431" t="s">
        <v>74</v>
      </c>
      <c r="P431" t="s">
        <v>74</v>
      </c>
      <c r="Q431" t="s">
        <v>74</v>
      </c>
      <c r="R431" t="s">
        <v>74</v>
      </c>
      <c r="S431" t="s">
        <v>74</v>
      </c>
      <c r="T431" t="s">
        <v>3419</v>
      </c>
      <c r="U431" t="s">
        <v>3420</v>
      </c>
      <c r="V431" t="s">
        <v>3421</v>
      </c>
      <c r="W431" t="s">
        <v>3422</v>
      </c>
      <c r="X431" t="s">
        <v>3423</v>
      </c>
      <c r="Y431" t="s">
        <v>3424</v>
      </c>
      <c r="Z431" t="s">
        <v>3425</v>
      </c>
      <c r="AA431" t="s">
        <v>3426</v>
      </c>
      <c r="AB431" t="s">
        <v>3427</v>
      </c>
      <c r="AC431" t="s">
        <v>74</v>
      </c>
      <c r="AD431" t="s">
        <v>74</v>
      </c>
      <c r="AE431" t="s">
        <v>74</v>
      </c>
      <c r="AF431" t="s">
        <v>74</v>
      </c>
      <c r="AG431">
        <v>44</v>
      </c>
      <c r="AH431">
        <v>9</v>
      </c>
      <c r="AI431">
        <v>9</v>
      </c>
      <c r="AJ431">
        <v>1</v>
      </c>
      <c r="AK431">
        <v>3</v>
      </c>
      <c r="AL431" t="s">
        <v>74</v>
      </c>
      <c r="AM431" t="s">
        <v>74</v>
      </c>
      <c r="AN431" t="s">
        <v>74</v>
      </c>
      <c r="AO431" t="s">
        <v>74</v>
      </c>
      <c r="AP431" t="s">
        <v>160</v>
      </c>
      <c r="AQ431" t="s">
        <v>74</v>
      </c>
      <c r="AR431" t="s">
        <v>74</v>
      </c>
      <c r="AS431" t="s">
        <v>74</v>
      </c>
      <c r="AT431" t="s">
        <v>437</v>
      </c>
      <c r="AU431">
        <v>2020</v>
      </c>
      <c r="AV431">
        <v>12</v>
      </c>
      <c r="AW431">
        <v>10</v>
      </c>
      <c r="AX431" t="s">
        <v>74</v>
      </c>
      <c r="AY431" t="s">
        <v>74</v>
      </c>
      <c r="AZ431" t="s">
        <v>74</v>
      </c>
      <c r="BA431" t="s">
        <v>74</v>
      </c>
      <c r="BB431" t="s">
        <v>74</v>
      </c>
      <c r="BC431" t="s">
        <v>74</v>
      </c>
      <c r="BD431">
        <v>2822</v>
      </c>
      <c r="BE431" t="s">
        <v>3428</v>
      </c>
      <c r="BF431" t="str">
        <f>HYPERLINK("http://dx.doi.org/10.3390/cancers12102822","http://dx.doi.org/10.3390/cancers12102822")</f>
        <v>http://dx.doi.org/10.3390/cancers12102822</v>
      </c>
      <c r="BG431" t="s">
        <v>74</v>
      </c>
      <c r="BH431" t="s">
        <v>74</v>
      </c>
      <c r="BI431" t="s">
        <v>74</v>
      </c>
      <c r="BJ431" t="s">
        <v>146</v>
      </c>
      <c r="BK431" t="s">
        <v>112</v>
      </c>
      <c r="BL431" t="s">
        <v>146</v>
      </c>
      <c r="BM431" t="s">
        <v>74</v>
      </c>
      <c r="BN431">
        <v>33007940</v>
      </c>
      <c r="BO431" t="s">
        <v>74</v>
      </c>
      <c r="BP431" t="s">
        <v>74</v>
      </c>
      <c r="BQ431" t="s">
        <v>74</v>
      </c>
      <c r="BR431" t="s">
        <v>93</v>
      </c>
      <c r="BS431" t="s">
        <v>3429</v>
      </c>
      <c r="BT431" t="str">
        <f>HYPERLINK("https%3A%2F%2Fwww.webofscience.com%2Fwos%2Fwoscc%2Ffull-record%2FWOS:000582657600001","View Full Record in Web of Science")</f>
        <v>View Full Record in Web of Science</v>
      </c>
    </row>
    <row r="432" spans="1:72" x14ac:dyDescent="0.15">
      <c r="A432" t="s">
        <v>72</v>
      </c>
      <c r="B432" t="s">
        <v>3444</v>
      </c>
      <c r="C432" t="s">
        <v>74</v>
      </c>
      <c r="D432" t="s">
        <v>74</v>
      </c>
      <c r="E432" t="s">
        <v>74</v>
      </c>
      <c r="F432" t="s">
        <v>3445</v>
      </c>
      <c r="G432" t="s">
        <v>74</v>
      </c>
      <c r="H432" t="s">
        <v>74</v>
      </c>
      <c r="I432" t="s">
        <v>3446</v>
      </c>
      <c r="J432" t="s">
        <v>3447</v>
      </c>
      <c r="K432" t="s">
        <v>74</v>
      </c>
      <c r="L432" t="s">
        <v>74</v>
      </c>
      <c r="M432" t="s">
        <v>74</v>
      </c>
      <c r="N432" t="s">
        <v>78</v>
      </c>
      <c r="O432" t="s">
        <v>74</v>
      </c>
      <c r="P432" t="s">
        <v>74</v>
      </c>
      <c r="Q432" t="s">
        <v>74</v>
      </c>
      <c r="R432" t="s">
        <v>74</v>
      </c>
      <c r="S432" t="s">
        <v>74</v>
      </c>
      <c r="T432" t="s">
        <v>3448</v>
      </c>
      <c r="U432" t="s">
        <v>3449</v>
      </c>
      <c r="V432" t="s">
        <v>3450</v>
      </c>
      <c r="W432" t="s">
        <v>3451</v>
      </c>
      <c r="X432" t="s">
        <v>3452</v>
      </c>
      <c r="Y432" t="s">
        <v>3453</v>
      </c>
      <c r="Z432" t="s">
        <v>3454</v>
      </c>
      <c r="AA432" t="s">
        <v>3455</v>
      </c>
      <c r="AB432" t="s">
        <v>3456</v>
      </c>
      <c r="AC432" t="s">
        <v>74</v>
      </c>
      <c r="AD432" t="s">
        <v>74</v>
      </c>
      <c r="AE432" t="s">
        <v>74</v>
      </c>
      <c r="AF432" t="s">
        <v>74</v>
      </c>
      <c r="AG432">
        <v>28</v>
      </c>
      <c r="AH432">
        <v>9</v>
      </c>
      <c r="AI432">
        <v>9</v>
      </c>
      <c r="AJ432">
        <v>3</v>
      </c>
      <c r="AK432">
        <v>34</v>
      </c>
      <c r="AL432" t="s">
        <v>74</v>
      </c>
      <c r="AM432" t="s">
        <v>74</v>
      </c>
      <c r="AN432" t="s">
        <v>74</v>
      </c>
      <c r="AO432" t="s">
        <v>3457</v>
      </c>
      <c r="AP432" t="s">
        <v>3458</v>
      </c>
      <c r="AQ432" t="s">
        <v>74</v>
      </c>
      <c r="AR432" t="s">
        <v>74</v>
      </c>
      <c r="AS432" t="s">
        <v>74</v>
      </c>
      <c r="AT432" t="s">
        <v>1111</v>
      </c>
      <c r="AU432">
        <v>2017</v>
      </c>
      <c r="AV432">
        <v>1859</v>
      </c>
      <c r="AW432">
        <v>5</v>
      </c>
      <c r="AX432" t="s">
        <v>74</v>
      </c>
      <c r="AY432" t="s">
        <v>74</v>
      </c>
      <c r="AZ432" t="s">
        <v>74</v>
      </c>
      <c r="BA432" t="s">
        <v>74</v>
      </c>
      <c r="BB432">
        <v>756</v>
      </c>
      <c r="BC432">
        <v>766</v>
      </c>
      <c r="BD432" t="s">
        <v>74</v>
      </c>
      <c r="BE432" t="s">
        <v>3459</v>
      </c>
      <c r="BF432" t="str">
        <f>HYPERLINK("http://dx.doi.org/10.1016/j.bbamem.2017.01.013","http://dx.doi.org/10.1016/j.bbamem.2017.01.013")</f>
        <v>http://dx.doi.org/10.1016/j.bbamem.2017.01.013</v>
      </c>
      <c r="BG432" t="s">
        <v>74</v>
      </c>
      <c r="BH432" t="s">
        <v>74</v>
      </c>
      <c r="BI432" t="s">
        <v>74</v>
      </c>
      <c r="BJ432" t="s">
        <v>2701</v>
      </c>
      <c r="BK432" t="s">
        <v>112</v>
      </c>
      <c r="BL432" t="s">
        <v>2701</v>
      </c>
      <c r="BM432" t="s">
        <v>74</v>
      </c>
      <c r="BN432">
        <v>28088446</v>
      </c>
      <c r="BO432" t="s">
        <v>74</v>
      </c>
      <c r="BP432" t="s">
        <v>74</v>
      </c>
      <c r="BQ432" t="s">
        <v>74</v>
      </c>
      <c r="BR432" t="s">
        <v>93</v>
      </c>
      <c r="BS432" t="s">
        <v>3460</v>
      </c>
      <c r="BT432" t="str">
        <f>HYPERLINK("https%3A%2F%2Fwww.webofscience.com%2Fwos%2Fwoscc%2Ffull-record%2FWOS:000398870800011","View Full Record in Web of Science")</f>
        <v>View Full Record in Web of Science</v>
      </c>
    </row>
    <row r="433" spans="1:72" x14ac:dyDescent="0.15">
      <c r="A433" t="s">
        <v>72</v>
      </c>
      <c r="B433" t="s">
        <v>3749</v>
      </c>
      <c r="C433" t="s">
        <v>74</v>
      </c>
      <c r="D433" t="s">
        <v>74</v>
      </c>
      <c r="E433" t="s">
        <v>74</v>
      </c>
      <c r="F433" t="s">
        <v>3750</v>
      </c>
      <c r="G433" t="s">
        <v>74</v>
      </c>
      <c r="H433" t="s">
        <v>74</v>
      </c>
      <c r="I433" t="s">
        <v>3751</v>
      </c>
      <c r="J433" t="s">
        <v>3752</v>
      </c>
      <c r="K433" t="s">
        <v>74</v>
      </c>
      <c r="L433" t="s">
        <v>74</v>
      </c>
      <c r="M433" t="s">
        <v>74</v>
      </c>
      <c r="N433" t="s">
        <v>78</v>
      </c>
      <c r="O433" t="s">
        <v>74</v>
      </c>
      <c r="P433" t="s">
        <v>74</v>
      </c>
      <c r="Q433" t="s">
        <v>74</v>
      </c>
      <c r="R433" t="s">
        <v>74</v>
      </c>
      <c r="S433" t="s">
        <v>74</v>
      </c>
      <c r="T433" t="s">
        <v>3753</v>
      </c>
      <c r="U433" t="s">
        <v>3754</v>
      </c>
      <c r="V433" t="s">
        <v>3755</v>
      </c>
      <c r="W433" t="s">
        <v>3756</v>
      </c>
      <c r="X433" t="s">
        <v>2133</v>
      </c>
      <c r="Y433" t="s">
        <v>3757</v>
      </c>
      <c r="Z433" t="s">
        <v>3758</v>
      </c>
      <c r="AA433" t="s">
        <v>1145</v>
      </c>
      <c r="AB433" t="s">
        <v>1146</v>
      </c>
      <c r="AC433" t="s">
        <v>74</v>
      </c>
      <c r="AD433" t="s">
        <v>74</v>
      </c>
      <c r="AE433" t="s">
        <v>74</v>
      </c>
      <c r="AF433" t="s">
        <v>74</v>
      </c>
      <c r="AG433">
        <v>45</v>
      </c>
      <c r="AH433">
        <v>9</v>
      </c>
      <c r="AI433">
        <v>9</v>
      </c>
      <c r="AJ433">
        <v>18</v>
      </c>
      <c r="AK433">
        <v>125</v>
      </c>
      <c r="AL433" t="s">
        <v>74</v>
      </c>
      <c r="AM433" t="s">
        <v>74</v>
      </c>
      <c r="AN433" t="s">
        <v>74</v>
      </c>
      <c r="AO433" t="s">
        <v>3759</v>
      </c>
      <c r="AP433" t="s">
        <v>3760</v>
      </c>
      <c r="AQ433" t="s">
        <v>74</v>
      </c>
      <c r="AR433" t="s">
        <v>74</v>
      </c>
      <c r="AS433" t="s">
        <v>74</v>
      </c>
      <c r="AT433" t="s">
        <v>3761</v>
      </c>
      <c r="AU433">
        <v>2020</v>
      </c>
      <c r="AV433">
        <v>12</v>
      </c>
      <c r="AW433">
        <v>30</v>
      </c>
      <c r="AX433" t="s">
        <v>74</v>
      </c>
      <c r="AY433" t="s">
        <v>74</v>
      </c>
      <c r="AZ433" t="s">
        <v>74</v>
      </c>
      <c r="BA433" t="s">
        <v>74</v>
      </c>
      <c r="BB433">
        <v>33473</v>
      </c>
      <c r="BC433">
        <v>33482</v>
      </c>
      <c r="BD433" t="s">
        <v>74</v>
      </c>
      <c r="BE433" t="s">
        <v>3762</v>
      </c>
      <c r="BF433" t="str">
        <f>HYPERLINK("http://dx.doi.org/10.1021/acsami.0c06785","http://dx.doi.org/10.1021/acsami.0c06785")</f>
        <v>http://dx.doi.org/10.1021/acsami.0c06785</v>
      </c>
      <c r="BG433" t="s">
        <v>74</v>
      </c>
      <c r="BH433" t="s">
        <v>74</v>
      </c>
      <c r="BI433" t="s">
        <v>74</v>
      </c>
      <c r="BJ433" t="s">
        <v>3763</v>
      </c>
      <c r="BK433" t="s">
        <v>112</v>
      </c>
      <c r="BL433" t="s">
        <v>3764</v>
      </c>
      <c r="BM433" t="s">
        <v>74</v>
      </c>
      <c r="BN433">
        <v>32603586</v>
      </c>
      <c r="BO433" t="s">
        <v>74</v>
      </c>
      <c r="BP433" t="s">
        <v>74</v>
      </c>
      <c r="BQ433" t="s">
        <v>74</v>
      </c>
      <c r="BR433" t="s">
        <v>93</v>
      </c>
      <c r="BS433" t="s">
        <v>3765</v>
      </c>
      <c r="BT433" t="str">
        <f>HYPERLINK("https%3A%2F%2Fwww.webofscience.com%2Fwos%2Fwoscc%2Ffull-record%2FWOS:000557854700003","View Full Record in Web of Science")</f>
        <v>View Full Record in Web of Science</v>
      </c>
    </row>
    <row r="434" spans="1:72" x14ac:dyDescent="0.15">
      <c r="A434" t="s">
        <v>72</v>
      </c>
      <c r="B434" t="s">
        <v>5251</v>
      </c>
      <c r="C434" t="s">
        <v>74</v>
      </c>
      <c r="D434" t="s">
        <v>74</v>
      </c>
      <c r="E434" t="s">
        <v>74</v>
      </c>
      <c r="F434" t="s">
        <v>5252</v>
      </c>
      <c r="G434" t="s">
        <v>74</v>
      </c>
      <c r="H434" t="s">
        <v>74</v>
      </c>
      <c r="I434" t="s">
        <v>5253</v>
      </c>
      <c r="J434" t="s">
        <v>4086</v>
      </c>
      <c r="K434" t="s">
        <v>74</v>
      </c>
      <c r="L434" t="s">
        <v>74</v>
      </c>
      <c r="M434" t="s">
        <v>74</v>
      </c>
      <c r="N434" t="s">
        <v>78</v>
      </c>
      <c r="O434" t="s">
        <v>74</v>
      </c>
      <c r="P434" t="s">
        <v>74</v>
      </c>
      <c r="Q434" t="s">
        <v>74</v>
      </c>
      <c r="R434" t="s">
        <v>74</v>
      </c>
      <c r="S434" t="s">
        <v>74</v>
      </c>
      <c r="T434" t="s">
        <v>74</v>
      </c>
      <c r="U434" t="s">
        <v>5254</v>
      </c>
      <c r="V434" t="s">
        <v>5255</v>
      </c>
      <c r="W434" t="s">
        <v>5256</v>
      </c>
      <c r="X434" t="s">
        <v>5257</v>
      </c>
      <c r="Y434" t="s">
        <v>5258</v>
      </c>
      <c r="Z434" t="s">
        <v>5259</v>
      </c>
      <c r="AA434" t="s">
        <v>74</v>
      </c>
      <c r="AB434" t="s">
        <v>5260</v>
      </c>
      <c r="AC434" t="s">
        <v>74</v>
      </c>
      <c r="AD434" t="s">
        <v>74</v>
      </c>
      <c r="AE434" t="s">
        <v>74</v>
      </c>
      <c r="AF434" t="s">
        <v>74</v>
      </c>
      <c r="AG434">
        <v>49</v>
      </c>
      <c r="AH434">
        <v>9</v>
      </c>
      <c r="AI434">
        <v>9</v>
      </c>
      <c r="AJ434">
        <v>0</v>
      </c>
      <c r="AK434">
        <v>10</v>
      </c>
      <c r="AL434" t="s">
        <v>74</v>
      </c>
      <c r="AM434" t="s">
        <v>74</v>
      </c>
      <c r="AN434" t="s">
        <v>74</v>
      </c>
      <c r="AO434" t="s">
        <v>4095</v>
      </c>
      <c r="AP434" t="s">
        <v>4096</v>
      </c>
      <c r="AQ434" t="s">
        <v>74</v>
      </c>
      <c r="AR434" t="s">
        <v>74</v>
      </c>
      <c r="AS434" t="s">
        <v>74</v>
      </c>
      <c r="AT434" t="s">
        <v>3728</v>
      </c>
      <c r="AU434">
        <v>2019</v>
      </c>
      <c r="AV434">
        <v>51</v>
      </c>
      <c r="AW434" t="s">
        <v>74</v>
      </c>
      <c r="AX434" t="s">
        <v>74</v>
      </c>
      <c r="AY434" t="s">
        <v>74</v>
      </c>
      <c r="AZ434" t="s">
        <v>74</v>
      </c>
      <c r="BA434" t="s">
        <v>74</v>
      </c>
      <c r="BB434" t="s">
        <v>74</v>
      </c>
      <c r="BC434" t="s">
        <v>74</v>
      </c>
      <c r="BD434">
        <v>87</v>
      </c>
      <c r="BE434" t="s">
        <v>5261</v>
      </c>
      <c r="BF434" t="str">
        <f>HYPERLINK("http://dx.doi.org/10.1038/s12276-019-0288-1","http://dx.doi.org/10.1038/s12276-019-0288-1")</f>
        <v>http://dx.doi.org/10.1038/s12276-019-0288-1</v>
      </c>
      <c r="BG434" t="s">
        <v>74</v>
      </c>
      <c r="BH434" t="s">
        <v>74</v>
      </c>
      <c r="BI434" t="s">
        <v>74</v>
      </c>
      <c r="BJ434" t="s">
        <v>769</v>
      </c>
      <c r="BK434" t="s">
        <v>112</v>
      </c>
      <c r="BL434" t="s">
        <v>771</v>
      </c>
      <c r="BM434" t="s">
        <v>74</v>
      </c>
      <c r="BN434">
        <v>31371728</v>
      </c>
      <c r="BO434" t="s">
        <v>74</v>
      </c>
      <c r="BP434" t="s">
        <v>74</v>
      </c>
      <c r="BQ434" t="s">
        <v>74</v>
      </c>
      <c r="BR434" t="s">
        <v>93</v>
      </c>
      <c r="BS434" t="s">
        <v>5262</v>
      </c>
      <c r="BT434" t="str">
        <f>HYPERLINK("https%3A%2F%2Fwww.webofscience.com%2Fwos%2Fwoscc%2Ffull-record%2FWOS:000479316300001","View Full Record in Web of Science")</f>
        <v>View Full Record in Web of Science</v>
      </c>
    </row>
    <row r="435" spans="1:72" x14ac:dyDescent="0.15">
      <c r="A435" t="s">
        <v>72</v>
      </c>
      <c r="B435" t="s">
        <v>5647</v>
      </c>
      <c r="C435" t="s">
        <v>74</v>
      </c>
      <c r="D435" t="s">
        <v>74</v>
      </c>
      <c r="E435" t="s">
        <v>74</v>
      </c>
      <c r="F435" t="s">
        <v>5648</v>
      </c>
      <c r="G435" t="s">
        <v>74</v>
      </c>
      <c r="H435" t="s">
        <v>74</v>
      </c>
      <c r="I435" t="s">
        <v>5649</v>
      </c>
      <c r="J435" t="s">
        <v>1100</v>
      </c>
      <c r="K435" t="s">
        <v>74</v>
      </c>
      <c r="L435" t="s">
        <v>74</v>
      </c>
      <c r="M435" t="s">
        <v>74</v>
      </c>
      <c r="N435" t="s">
        <v>78</v>
      </c>
      <c r="O435" t="s">
        <v>74</v>
      </c>
      <c r="P435" t="s">
        <v>74</v>
      </c>
      <c r="Q435" t="s">
        <v>74</v>
      </c>
      <c r="R435" t="s">
        <v>74</v>
      </c>
      <c r="S435" t="s">
        <v>74</v>
      </c>
      <c r="T435" t="s">
        <v>5650</v>
      </c>
      <c r="U435" t="s">
        <v>5651</v>
      </c>
      <c r="V435" t="s">
        <v>5652</v>
      </c>
      <c r="W435" t="s">
        <v>5653</v>
      </c>
      <c r="X435" t="s">
        <v>5654</v>
      </c>
      <c r="Y435" t="s">
        <v>5655</v>
      </c>
      <c r="Z435" t="s">
        <v>5656</v>
      </c>
      <c r="AA435" t="s">
        <v>5657</v>
      </c>
      <c r="AB435" t="s">
        <v>5658</v>
      </c>
      <c r="AC435" t="s">
        <v>74</v>
      </c>
      <c r="AD435" t="s">
        <v>74</v>
      </c>
      <c r="AE435" t="s">
        <v>74</v>
      </c>
      <c r="AF435" t="s">
        <v>74</v>
      </c>
      <c r="AG435">
        <v>47</v>
      </c>
      <c r="AH435">
        <v>9</v>
      </c>
      <c r="AI435">
        <v>10</v>
      </c>
      <c r="AJ435">
        <v>2</v>
      </c>
      <c r="AK435">
        <v>9</v>
      </c>
      <c r="AL435" t="s">
        <v>74</v>
      </c>
      <c r="AM435" t="s">
        <v>74</v>
      </c>
      <c r="AN435" t="s">
        <v>74</v>
      </c>
      <c r="AO435" t="s">
        <v>74</v>
      </c>
      <c r="AP435" t="s">
        <v>1110</v>
      </c>
      <c r="AQ435" t="s">
        <v>74</v>
      </c>
      <c r="AR435" t="s">
        <v>74</v>
      </c>
      <c r="AS435" t="s">
        <v>74</v>
      </c>
      <c r="AT435" t="s">
        <v>364</v>
      </c>
      <c r="AU435">
        <v>2019</v>
      </c>
      <c r="AV435">
        <v>24</v>
      </c>
      <c r="AW435">
        <v>17</v>
      </c>
      <c r="AX435" t="s">
        <v>74</v>
      </c>
      <c r="AY435" t="s">
        <v>74</v>
      </c>
      <c r="AZ435" t="s">
        <v>74</v>
      </c>
      <c r="BA435" t="s">
        <v>74</v>
      </c>
      <c r="BB435" t="s">
        <v>74</v>
      </c>
      <c r="BC435" t="s">
        <v>74</v>
      </c>
      <c r="BD435">
        <v>3131</v>
      </c>
      <c r="BE435" t="s">
        <v>5659</v>
      </c>
      <c r="BF435" t="str">
        <f>HYPERLINK("http://dx.doi.org/10.3390/molecules24173131","http://dx.doi.org/10.3390/molecules24173131")</f>
        <v>http://dx.doi.org/10.3390/molecules24173131</v>
      </c>
      <c r="BG435" t="s">
        <v>74</v>
      </c>
      <c r="BH435" t="s">
        <v>74</v>
      </c>
      <c r="BI435" t="s">
        <v>74</v>
      </c>
      <c r="BJ435" t="s">
        <v>680</v>
      </c>
      <c r="BK435" t="s">
        <v>112</v>
      </c>
      <c r="BL435" t="s">
        <v>681</v>
      </c>
      <c r="BM435" t="s">
        <v>74</v>
      </c>
      <c r="BN435">
        <v>31466323</v>
      </c>
      <c r="BO435" t="s">
        <v>74</v>
      </c>
      <c r="BP435" t="s">
        <v>74</v>
      </c>
      <c r="BQ435" t="s">
        <v>74</v>
      </c>
      <c r="BR435" t="s">
        <v>93</v>
      </c>
      <c r="BS435" t="s">
        <v>5660</v>
      </c>
      <c r="BT435" t="str">
        <f>HYPERLINK("https%3A%2F%2Fwww.webofscience.com%2Fwos%2Fwoscc%2Ffull-record%2FWOS:000488613700111","View Full Record in Web of Science")</f>
        <v>View Full Record in Web of Science</v>
      </c>
    </row>
    <row r="436" spans="1:72" x14ac:dyDescent="0.15">
      <c r="A436" t="s">
        <v>72</v>
      </c>
      <c r="B436" t="s">
        <v>6440</v>
      </c>
      <c r="C436" t="s">
        <v>74</v>
      </c>
      <c r="D436" t="s">
        <v>74</v>
      </c>
      <c r="E436" t="s">
        <v>74</v>
      </c>
      <c r="F436" t="s">
        <v>6441</v>
      </c>
      <c r="G436" t="s">
        <v>74</v>
      </c>
      <c r="H436" t="s">
        <v>74</v>
      </c>
      <c r="I436" t="s">
        <v>6442</v>
      </c>
      <c r="J436" t="s">
        <v>1828</v>
      </c>
      <c r="K436" t="s">
        <v>74</v>
      </c>
      <c r="L436" t="s">
        <v>74</v>
      </c>
      <c r="M436" t="s">
        <v>74</v>
      </c>
      <c r="N436" t="s">
        <v>78</v>
      </c>
      <c r="O436" t="s">
        <v>74</v>
      </c>
      <c r="P436" t="s">
        <v>74</v>
      </c>
      <c r="Q436" t="s">
        <v>74</v>
      </c>
      <c r="R436" t="s">
        <v>74</v>
      </c>
      <c r="S436" t="s">
        <v>74</v>
      </c>
      <c r="T436" t="s">
        <v>74</v>
      </c>
      <c r="U436" t="s">
        <v>6443</v>
      </c>
      <c r="V436" t="s">
        <v>6444</v>
      </c>
      <c r="W436" t="s">
        <v>6445</v>
      </c>
      <c r="X436" t="s">
        <v>6446</v>
      </c>
      <c r="Y436" t="s">
        <v>6447</v>
      </c>
      <c r="Z436" t="s">
        <v>6448</v>
      </c>
      <c r="AA436" t="s">
        <v>74</v>
      </c>
      <c r="AB436" t="s">
        <v>74</v>
      </c>
      <c r="AC436" t="s">
        <v>74</v>
      </c>
      <c r="AD436" t="s">
        <v>74</v>
      </c>
      <c r="AE436" t="s">
        <v>74</v>
      </c>
      <c r="AF436" t="s">
        <v>74</v>
      </c>
      <c r="AG436">
        <v>48</v>
      </c>
      <c r="AH436">
        <v>9</v>
      </c>
      <c r="AI436">
        <v>9</v>
      </c>
      <c r="AJ436">
        <v>1</v>
      </c>
      <c r="AK436">
        <v>5</v>
      </c>
      <c r="AL436" t="s">
        <v>74</v>
      </c>
      <c r="AM436" t="s">
        <v>74</v>
      </c>
      <c r="AN436" t="s">
        <v>74</v>
      </c>
      <c r="AO436" t="s">
        <v>1837</v>
      </c>
      <c r="AP436" t="s">
        <v>74</v>
      </c>
      <c r="AQ436" t="s">
        <v>74</v>
      </c>
      <c r="AR436" t="s">
        <v>74</v>
      </c>
      <c r="AS436" t="s">
        <v>74</v>
      </c>
      <c r="AT436" t="s">
        <v>6449</v>
      </c>
      <c r="AU436">
        <v>2020</v>
      </c>
      <c r="AV436">
        <v>10</v>
      </c>
      <c r="AW436">
        <v>1</v>
      </c>
      <c r="AX436" t="s">
        <v>74</v>
      </c>
      <c r="AY436" t="s">
        <v>74</v>
      </c>
      <c r="AZ436" t="s">
        <v>74</v>
      </c>
      <c r="BA436" t="s">
        <v>74</v>
      </c>
      <c r="BB436" t="s">
        <v>74</v>
      </c>
      <c r="BC436" t="s">
        <v>74</v>
      </c>
      <c r="BD436">
        <v>21795</v>
      </c>
      <c r="BE436" t="s">
        <v>6450</v>
      </c>
      <c r="BF436" t="str">
        <f>HYPERLINK("http://dx.doi.org/10.1038/s41598-020-78464-2","http://dx.doi.org/10.1038/s41598-020-78464-2")</f>
        <v>http://dx.doi.org/10.1038/s41598-020-78464-2</v>
      </c>
      <c r="BG436" t="s">
        <v>74</v>
      </c>
      <c r="BH436" t="s">
        <v>74</v>
      </c>
      <c r="BI436" t="s">
        <v>74</v>
      </c>
      <c r="BJ436" t="s">
        <v>545</v>
      </c>
      <c r="BK436" t="s">
        <v>112</v>
      </c>
      <c r="BL436" t="s">
        <v>546</v>
      </c>
      <c r="BM436" t="s">
        <v>74</v>
      </c>
      <c r="BN436">
        <v>33311558</v>
      </c>
      <c r="BO436" t="s">
        <v>74</v>
      </c>
      <c r="BP436" t="s">
        <v>74</v>
      </c>
      <c r="BQ436" t="s">
        <v>74</v>
      </c>
      <c r="BR436" t="s">
        <v>93</v>
      </c>
      <c r="BS436" t="s">
        <v>6451</v>
      </c>
      <c r="BT436" t="str">
        <f>HYPERLINK("https%3A%2F%2Fwww.webofscience.com%2Fwos%2Fwoscc%2Ffull-record%2FWOS:000599946500007","View Full Record in Web of Science")</f>
        <v>View Full Record in Web of Science</v>
      </c>
    </row>
    <row r="437" spans="1:72" x14ac:dyDescent="0.15">
      <c r="A437" t="s">
        <v>72</v>
      </c>
      <c r="B437" t="s">
        <v>6533</v>
      </c>
      <c r="C437" t="s">
        <v>74</v>
      </c>
      <c r="D437" t="s">
        <v>74</v>
      </c>
      <c r="E437" t="s">
        <v>74</v>
      </c>
      <c r="F437" t="s">
        <v>6534</v>
      </c>
      <c r="G437" t="s">
        <v>74</v>
      </c>
      <c r="H437" t="s">
        <v>74</v>
      </c>
      <c r="I437" t="s">
        <v>6535</v>
      </c>
      <c r="J437" t="s">
        <v>6536</v>
      </c>
      <c r="K437" t="s">
        <v>74</v>
      </c>
      <c r="L437" t="s">
        <v>74</v>
      </c>
      <c r="M437" t="s">
        <v>74</v>
      </c>
      <c r="N437" t="s">
        <v>78</v>
      </c>
      <c r="O437" t="s">
        <v>74</v>
      </c>
      <c r="P437" t="s">
        <v>74</v>
      </c>
      <c r="Q437" t="s">
        <v>74</v>
      </c>
      <c r="R437" t="s">
        <v>74</v>
      </c>
      <c r="S437" t="s">
        <v>74</v>
      </c>
      <c r="T437" t="s">
        <v>74</v>
      </c>
      <c r="U437" t="s">
        <v>6537</v>
      </c>
      <c r="V437" t="s">
        <v>6538</v>
      </c>
      <c r="W437" t="s">
        <v>6539</v>
      </c>
      <c r="X437" t="s">
        <v>6540</v>
      </c>
      <c r="Y437" t="s">
        <v>6541</v>
      </c>
      <c r="Z437" t="s">
        <v>6542</v>
      </c>
      <c r="AA437" t="s">
        <v>74</v>
      </c>
      <c r="AB437" t="s">
        <v>6543</v>
      </c>
      <c r="AC437" t="s">
        <v>74</v>
      </c>
      <c r="AD437" t="s">
        <v>74</v>
      </c>
      <c r="AE437" t="s">
        <v>74</v>
      </c>
      <c r="AF437" t="s">
        <v>74</v>
      </c>
      <c r="AG437">
        <v>52</v>
      </c>
      <c r="AH437">
        <v>9</v>
      </c>
      <c r="AI437">
        <v>9</v>
      </c>
      <c r="AJ437">
        <v>5</v>
      </c>
      <c r="AK437">
        <v>55</v>
      </c>
      <c r="AL437" t="s">
        <v>74</v>
      </c>
      <c r="AM437" t="s">
        <v>74</v>
      </c>
      <c r="AN437" t="s">
        <v>74</v>
      </c>
      <c r="AO437" t="s">
        <v>74</v>
      </c>
      <c r="AP437" t="s">
        <v>6544</v>
      </c>
      <c r="AQ437" t="s">
        <v>74</v>
      </c>
      <c r="AR437" t="s">
        <v>74</v>
      </c>
      <c r="AS437" t="s">
        <v>74</v>
      </c>
      <c r="AT437" t="s">
        <v>6545</v>
      </c>
      <c r="AU437">
        <v>2018</v>
      </c>
      <c r="AV437">
        <v>2</v>
      </c>
      <c r="AW437">
        <v>11</v>
      </c>
      <c r="AX437" t="s">
        <v>74</v>
      </c>
      <c r="AY437" t="s">
        <v>74</v>
      </c>
      <c r="AZ437" t="s">
        <v>74</v>
      </c>
      <c r="BA437" t="s">
        <v>74</v>
      </c>
      <c r="BB437">
        <v>2130</v>
      </c>
      <c r="BC437">
        <v>2139</v>
      </c>
      <c r="BD437" t="s">
        <v>74</v>
      </c>
      <c r="BE437" t="s">
        <v>6546</v>
      </c>
      <c r="BF437" t="str">
        <f>HYPERLINK("http://dx.doi.org/10.1039/c8qm00300a","http://dx.doi.org/10.1039/c8qm00300a")</f>
        <v>http://dx.doi.org/10.1039/c8qm00300a</v>
      </c>
      <c r="BG437" t="s">
        <v>74</v>
      </c>
      <c r="BH437" t="s">
        <v>74</v>
      </c>
      <c r="BI437" t="s">
        <v>74</v>
      </c>
      <c r="BJ437" t="s">
        <v>6547</v>
      </c>
      <c r="BK437" t="s">
        <v>112</v>
      </c>
      <c r="BL437" t="s">
        <v>6548</v>
      </c>
      <c r="BM437" t="s">
        <v>74</v>
      </c>
      <c r="BN437" t="s">
        <v>74</v>
      </c>
      <c r="BO437" t="s">
        <v>74</v>
      </c>
      <c r="BP437" t="s">
        <v>74</v>
      </c>
      <c r="BQ437" t="s">
        <v>74</v>
      </c>
      <c r="BR437" t="s">
        <v>93</v>
      </c>
      <c r="BS437" t="s">
        <v>6549</v>
      </c>
      <c r="BT437" t="str">
        <f>HYPERLINK("https%3A%2F%2Fwww.webofscience.com%2Fwos%2Fwoscc%2Ffull-record%2FWOS:000448416200020","View Full Record in Web of Science")</f>
        <v>View Full Record in Web of Science</v>
      </c>
    </row>
    <row r="438" spans="1:72" x14ac:dyDescent="0.15">
      <c r="A438" t="s">
        <v>72</v>
      </c>
      <c r="B438" t="s">
        <v>7041</v>
      </c>
      <c r="C438" t="s">
        <v>74</v>
      </c>
      <c r="D438" t="s">
        <v>74</v>
      </c>
      <c r="E438" t="s">
        <v>74</v>
      </c>
      <c r="F438" t="s">
        <v>7042</v>
      </c>
      <c r="G438" t="s">
        <v>74</v>
      </c>
      <c r="H438" t="s">
        <v>74</v>
      </c>
      <c r="I438" t="s">
        <v>7043</v>
      </c>
      <c r="J438" t="s">
        <v>262</v>
      </c>
      <c r="K438" t="s">
        <v>74</v>
      </c>
      <c r="L438" t="s">
        <v>74</v>
      </c>
      <c r="M438" t="s">
        <v>74</v>
      </c>
      <c r="N438" t="s">
        <v>78</v>
      </c>
      <c r="O438" t="s">
        <v>74</v>
      </c>
      <c r="P438" t="s">
        <v>74</v>
      </c>
      <c r="Q438" t="s">
        <v>74</v>
      </c>
      <c r="R438" t="s">
        <v>74</v>
      </c>
      <c r="S438" t="s">
        <v>74</v>
      </c>
      <c r="T438" t="s">
        <v>7044</v>
      </c>
      <c r="U438" t="s">
        <v>7045</v>
      </c>
      <c r="V438" t="s">
        <v>7046</v>
      </c>
      <c r="W438" t="s">
        <v>7047</v>
      </c>
      <c r="X438" t="s">
        <v>7048</v>
      </c>
      <c r="Y438" t="s">
        <v>7049</v>
      </c>
      <c r="Z438" t="s">
        <v>7050</v>
      </c>
      <c r="AA438" t="s">
        <v>7051</v>
      </c>
      <c r="AB438" t="s">
        <v>7052</v>
      </c>
      <c r="AC438" t="s">
        <v>74</v>
      </c>
      <c r="AD438" t="s">
        <v>74</v>
      </c>
      <c r="AE438" t="s">
        <v>74</v>
      </c>
      <c r="AF438" t="s">
        <v>74</v>
      </c>
      <c r="AG438">
        <v>44</v>
      </c>
      <c r="AH438">
        <v>9</v>
      </c>
      <c r="AI438">
        <v>9</v>
      </c>
      <c r="AJ438">
        <v>0</v>
      </c>
      <c r="AK438">
        <v>4</v>
      </c>
      <c r="AL438" t="s">
        <v>74</v>
      </c>
      <c r="AM438" t="s">
        <v>74</v>
      </c>
      <c r="AN438" t="s">
        <v>74</v>
      </c>
      <c r="AO438" t="s">
        <v>270</v>
      </c>
      <c r="AP438" t="s">
        <v>74</v>
      </c>
      <c r="AQ438" t="s">
        <v>74</v>
      </c>
      <c r="AR438" t="s">
        <v>74</v>
      </c>
      <c r="AS438" t="s">
        <v>74</v>
      </c>
      <c r="AT438" t="s">
        <v>7053</v>
      </c>
      <c r="AU438">
        <v>2019</v>
      </c>
      <c r="AV438">
        <v>9</v>
      </c>
      <c r="AW438" t="s">
        <v>74</v>
      </c>
      <c r="AX438" t="s">
        <v>74</v>
      </c>
      <c r="AY438" t="s">
        <v>74</v>
      </c>
      <c r="AZ438" t="s">
        <v>74</v>
      </c>
      <c r="BA438" t="s">
        <v>74</v>
      </c>
      <c r="BB438" t="s">
        <v>74</v>
      </c>
      <c r="BC438" t="s">
        <v>74</v>
      </c>
      <c r="BD438">
        <v>93</v>
      </c>
      <c r="BE438" t="s">
        <v>7054</v>
      </c>
      <c r="BF438" t="str">
        <f>HYPERLINK("http://dx.doi.org/10.3389/fonc.2019.00093","http://dx.doi.org/10.3389/fonc.2019.00093")</f>
        <v>http://dx.doi.org/10.3389/fonc.2019.00093</v>
      </c>
      <c r="BG438" t="s">
        <v>74</v>
      </c>
      <c r="BH438" t="s">
        <v>74</v>
      </c>
      <c r="BI438" t="s">
        <v>74</v>
      </c>
      <c r="BJ438" t="s">
        <v>146</v>
      </c>
      <c r="BK438" t="s">
        <v>112</v>
      </c>
      <c r="BL438" t="s">
        <v>146</v>
      </c>
      <c r="BM438" t="s">
        <v>74</v>
      </c>
      <c r="BN438">
        <v>30847303</v>
      </c>
      <c r="BO438" t="s">
        <v>74</v>
      </c>
      <c r="BP438" t="s">
        <v>74</v>
      </c>
      <c r="BQ438" t="s">
        <v>74</v>
      </c>
      <c r="BR438" t="s">
        <v>93</v>
      </c>
      <c r="BS438" t="s">
        <v>7055</v>
      </c>
      <c r="BT438" t="str">
        <f>HYPERLINK("https%3A%2F%2Fwww.webofscience.com%2Fwos%2Fwoscc%2Ffull-record%2FWOS:000459290000001","View Full Record in Web of Science")</f>
        <v>View Full Record in Web of Science</v>
      </c>
    </row>
    <row r="439" spans="1:72" x14ac:dyDescent="0.15">
      <c r="A439" t="s">
        <v>72</v>
      </c>
      <c r="B439" t="s">
        <v>7793</v>
      </c>
      <c r="C439" t="s">
        <v>74</v>
      </c>
      <c r="D439" t="s">
        <v>74</v>
      </c>
      <c r="E439" t="s">
        <v>74</v>
      </c>
      <c r="F439" t="s">
        <v>7794</v>
      </c>
      <c r="G439" t="s">
        <v>74</v>
      </c>
      <c r="H439" t="s">
        <v>74</v>
      </c>
      <c r="I439" t="s">
        <v>7795</v>
      </c>
      <c r="J439" t="s">
        <v>7796</v>
      </c>
      <c r="K439" t="s">
        <v>74</v>
      </c>
      <c r="L439" t="s">
        <v>74</v>
      </c>
      <c r="M439" t="s">
        <v>74</v>
      </c>
      <c r="N439" t="s">
        <v>78</v>
      </c>
      <c r="O439" t="s">
        <v>74</v>
      </c>
      <c r="P439" t="s">
        <v>74</v>
      </c>
      <c r="Q439" t="s">
        <v>74</v>
      </c>
      <c r="R439" t="s">
        <v>74</v>
      </c>
      <c r="S439" t="s">
        <v>74</v>
      </c>
      <c r="T439" t="s">
        <v>7797</v>
      </c>
      <c r="U439" t="s">
        <v>7798</v>
      </c>
      <c r="V439" t="s">
        <v>7799</v>
      </c>
      <c r="W439" t="s">
        <v>7800</v>
      </c>
      <c r="X439" t="s">
        <v>7801</v>
      </c>
      <c r="Y439" t="s">
        <v>7802</v>
      </c>
      <c r="Z439" t="s">
        <v>7803</v>
      </c>
      <c r="AA439" t="s">
        <v>74</v>
      </c>
      <c r="AB439" t="s">
        <v>7804</v>
      </c>
      <c r="AC439" t="s">
        <v>74</v>
      </c>
      <c r="AD439" t="s">
        <v>74</v>
      </c>
      <c r="AE439" t="s">
        <v>74</v>
      </c>
      <c r="AF439" t="s">
        <v>74</v>
      </c>
      <c r="AG439">
        <v>38</v>
      </c>
      <c r="AH439">
        <v>9</v>
      </c>
      <c r="AI439">
        <v>10</v>
      </c>
      <c r="AJ439">
        <v>0</v>
      </c>
      <c r="AK439">
        <v>5</v>
      </c>
      <c r="AL439" t="s">
        <v>74</v>
      </c>
      <c r="AM439" t="s">
        <v>74</v>
      </c>
      <c r="AN439" t="s">
        <v>74</v>
      </c>
      <c r="AO439" t="s">
        <v>7805</v>
      </c>
      <c r="AP439" t="s">
        <v>74</v>
      </c>
      <c r="AQ439" t="s">
        <v>74</v>
      </c>
      <c r="AR439" t="s">
        <v>74</v>
      </c>
      <c r="AS439" t="s">
        <v>74</v>
      </c>
      <c r="AT439" t="s">
        <v>7806</v>
      </c>
      <c r="AU439">
        <v>2017</v>
      </c>
      <c r="AV439">
        <v>7</v>
      </c>
      <c r="AW439" t="s">
        <v>74</v>
      </c>
      <c r="AX439" t="s">
        <v>74</v>
      </c>
      <c r="AY439" t="s">
        <v>74</v>
      </c>
      <c r="AZ439" t="s">
        <v>74</v>
      </c>
      <c r="BA439" t="s">
        <v>74</v>
      </c>
      <c r="BB439" t="s">
        <v>74</v>
      </c>
      <c r="BC439" t="s">
        <v>74</v>
      </c>
      <c r="BD439">
        <v>118</v>
      </c>
      <c r="BE439" t="s">
        <v>7807</v>
      </c>
      <c r="BF439" t="str">
        <f>HYPERLINK("http://dx.doi.org/10.1186/s13613-017-0340-z","http://dx.doi.org/10.1186/s13613-017-0340-z")</f>
        <v>http://dx.doi.org/10.1186/s13613-017-0340-z</v>
      </c>
      <c r="BG439" t="s">
        <v>74</v>
      </c>
      <c r="BH439" t="s">
        <v>74</v>
      </c>
      <c r="BI439" t="s">
        <v>74</v>
      </c>
      <c r="BJ439" t="s">
        <v>4894</v>
      </c>
      <c r="BK439" t="s">
        <v>112</v>
      </c>
      <c r="BL439" t="s">
        <v>803</v>
      </c>
      <c r="BM439" t="s">
        <v>74</v>
      </c>
      <c r="BN439">
        <v>29222696</v>
      </c>
      <c r="BO439" t="s">
        <v>74</v>
      </c>
      <c r="BP439" t="s">
        <v>74</v>
      </c>
      <c r="BQ439" t="s">
        <v>74</v>
      </c>
      <c r="BR439" t="s">
        <v>93</v>
      </c>
      <c r="BS439" t="s">
        <v>7808</v>
      </c>
      <c r="BT439" t="str">
        <f>HYPERLINK("https%3A%2F%2Fwww.webofscience.com%2Fwos%2Fwoscc%2Ffull-record%2FWOS:000417814900001","View Full Record in Web of Science")</f>
        <v>View Full Record in Web of Science</v>
      </c>
    </row>
    <row r="440" spans="1:72" x14ac:dyDescent="0.15">
      <c r="A440" t="s">
        <v>72</v>
      </c>
      <c r="B440" t="s">
        <v>8727</v>
      </c>
      <c r="C440" t="s">
        <v>74</v>
      </c>
      <c r="D440" t="s">
        <v>74</v>
      </c>
      <c r="E440" t="s">
        <v>74</v>
      </c>
      <c r="F440" t="s">
        <v>8728</v>
      </c>
      <c r="G440" t="s">
        <v>74</v>
      </c>
      <c r="H440" t="s">
        <v>74</v>
      </c>
      <c r="I440" t="s">
        <v>8729</v>
      </c>
      <c r="J440" t="s">
        <v>8730</v>
      </c>
      <c r="K440" t="s">
        <v>74</v>
      </c>
      <c r="L440" t="s">
        <v>74</v>
      </c>
      <c r="M440" t="s">
        <v>74</v>
      </c>
      <c r="N440" t="s">
        <v>78</v>
      </c>
      <c r="O440" t="s">
        <v>74</v>
      </c>
      <c r="P440" t="s">
        <v>74</v>
      </c>
      <c r="Q440" t="s">
        <v>74</v>
      </c>
      <c r="R440" t="s">
        <v>74</v>
      </c>
      <c r="S440" t="s">
        <v>74</v>
      </c>
      <c r="T440" t="s">
        <v>8731</v>
      </c>
      <c r="U440" t="s">
        <v>8732</v>
      </c>
      <c r="V440" t="s">
        <v>8733</v>
      </c>
      <c r="W440" t="s">
        <v>8734</v>
      </c>
      <c r="X440" t="s">
        <v>8735</v>
      </c>
      <c r="Y440" t="s">
        <v>8736</v>
      </c>
      <c r="Z440" t="s">
        <v>8737</v>
      </c>
      <c r="AA440" t="s">
        <v>74</v>
      </c>
      <c r="AB440" t="s">
        <v>74</v>
      </c>
      <c r="AC440" t="s">
        <v>74</v>
      </c>
      <c r="AD440" t="s">
        <v>74</v>
      </c>
      <c r="AE440" t="s">
        <v>74</v>
      </c>
      <c r="AF440" t="s">
        <v>74</v>
      </c>
      <c r="AG440">
        <v>22</v>
      </c>
      <c r="AH440">
        <v>9</v>
      </c>
      <c r="AI440">
        <v>9</v>
      </c>
      <c r="AJ440">
        <v>0</v>
      </c>
      <c r="AK440">
        <v>16</v>
      </c>
      <c r="AL440" t="s">
        <v>74</v>
      </c>
      <c r="AM440" t="s">
        <v>74</v>
      </c>
      <c r="AN440" t="s">
        <v>74</v>
      </c>
      <c r="AO440" t="s">
        <v>8738</v>
      </c>
      <c r="AP440" t="s">
        <v>8739</v>
      </c>
      <c r="AQ440" t="s">
        <v>74</v>
      </c>
      <c r="AR440" t="s">
        <v>74</v>
      </c>
      <c r="AS440" t="s">
        <v>74</v>
      </c>
      <c r="AT440" t="s">
        <v>6793</v>
      </c>
      <c r="AU440">
        <v>2014</v>
      </c>
      <c r="AV440">
        <v>61</v>
      </c>
      <c r="AW440">
        <v>3</v>
      </c>
      <c r="AX440" t="s">
        <v>74</v>
      </c>
      <c r="AY440" t="s">
        <v>74</v>
      </c>
      <c r="AZ440" t="s">
        <v>74</v>
      </c>
      <c r="BA440" t="s">
        <v>74</v>
      </c>
      <c r="BB440">
        <v>342</v>
      </c>
      <c r="BC440">
        <v>348</v>
      </c>
      <c r="BD440" t="s">
        <v>74</v>
      </c>
      <c r="BE440" t="s">
        <v>8740</v>
      </c>
      <c r="BF440" t="str">
        <f>HYPERLINK("http://dx.doi.org/10.1002/bab.1172","http://dx.doi.org/10.1002/bab.1172")</f>
        <v>http://dx.doi.org/10.1002/bab.1172</v>
      </c>
      <c r="BG440" t="s">
        <v>74</v>
      </c>
      <c r="BH440" t="s">
        <v>74</v>
      </c>
      <c r="BI440" t="s">
        <v>74</v>
      </c>
      <c r="BJ440" t="s">
        <v>8741</v>
      </c>
      <c r="BK440" t="s">
        <v>112</v>
      </c>
      <c r="BL440" t="s">
        <v>8741</v>
      </c>
      <c r="BM440" t="s">
        <v>74</v>
      </c>
      <c r="BN440">
        <v>24164173</v>
      </c>
      <c r="BO440" t="s">
        <v>74</v>
      </c>
      <c r="BP440" t="s">
        <v>74</v>
      </c>
      <c r="BQ440" t="s">
        <v>74</v>
      </c>
      <c r="BR440" t="s">
        <v>93</v>
      </c>
      <c r="BS440" t="s">
        <v>8742</v>
      </c>
      <c r="BT440" t="str">
        <f>HYPERLINK("https%3A%2F%2Fwww.webofscience.com%2Fwos%2Fwoscc%2Ffull-record%2FWOS:000338022600012","View Full Record in Web of Science")</f>
        <v>View Full Record in Web of Science</v>
      </c>
    </row>
    <row r="441" spans="1:72" x14ac:dyDescent="0.15">
      <c r="A441" t="s">
        <v>8802</v>
      </c>
      <c r="B441" t="s">
        <v>8803</v>
      </c>
      <c r="C441" t="s">
        <v>74</v>
      </c>
      <c r="D441" t="s">
        <v>8804</v>
      </c>
      <c r="E441" t="s">
        <v>74</v>
      </c>
      <c r="F441" t="s">
        <v>8805</v>
      </c>
      <c r="G441" t="s">
        <v>74</v>
      </c>
      <c r="H441" t="s">
        <v>74</v>
      </c>
      <c r="I441" t="s">
        <v>8806</v>
      </c>
      <c r="J441" t="s">
        <v>8807</v>
      </c>
      <c r="K441" t="s">
        <v>74</v>
      </c>
      <c r="L441" t="s">
        <v>74</v>
      </c>
      <c r="M441" t="s">
        <v>74</v>
      </c>
      <c r="N441" t="s">
        <v>319</v>
      </c>
      <c r="O441" t="s">
        <v>74</v>
      </c>
      <c r="P441" t="s">
        <v>74</v>
      </c>
      <c r="Q441" t="s">
        <v>74</v>
      </c>
      <c r="R441" t="s">
        <v>74</v>
      </c>
      <c r="S441" t="s">
        <v>74</v>
      </c>
      <c r="T441" t="s">
        <v>74</v>
      </c>
      <c r="U441" t="s">
        <v>8808</v>
      </c>
      <c r="V441" t="s">
        <v>8809</v>
      </c>
      <c r="W441" t="s">
        <v>8810</v>
      </c>
      <c r="X441" t="s">
        <v>8811</v>
      </c>
      <c r="Y441" t="s">
        <v>8812</v>
      </c>
      <c r="Z441" t="s">
        <v>74</v>
      </c>
      <c r="AA441" t="s">
        <v>74</v>
      </c>
      <c r="AB441" t="s">
        <v>8813</v>
      </c>
      <c r="AC441" t="s">
        <v>74</v>
      </c>
      <c r="AD441" t="s">
        <v>74</v>
      </c>
      <c r="AE441" t="s">
        <v>74</v>
      </c>
      <c r="AF441" t="s">
        <v>74</v>
      </c>
      <c r="AG441">
        <v>461</v>
      </c>
      <c r="AH441">
        <v>9</v>
      </c>
      <c r="AI441">
        <v>9</v>
      </c>
      <c r="AJ441">
        <v>0</v>
      </c>
      <c r="AK441">
        <v>1</v>
      </c>
      <c r="AL441" t="s">
        <v>74</v>
      </c>
      <c r="AM441" t="s">
        <v>74</v>
      </c>
      <c r="AN441" t="s">
        <v>74</v>
      </c>
      <c r="AO441" t="s">
        <v>74</v>
      </c>
      <c r="AP441" t="s">
        <v>74</v>
      </c>
      <c r="AQ441" t="s">
        <v>8814</v>
      </c>
      <c r="AR441" t="s">
        <v>74</v>
      </c>
      <c r="AS441" t="s">
        <v>74</v>
      </c>
      <c r="AT441" t="s">
        <v>74</v>
      </c>
      <c r="AU441">
        <v>2018</v>
      </c>
      <c r="AV441" t="s">
        <v>74</v>
      </c>
      <c r="AW441" t="s">
        <v>74</v>
      </c>
      <c r="AX441" t="s">
        <v>74</v>
      </c>
      <c r="AY441" t="s">
        <v>74</v>
      </c>
      <c r="AZ441" t="s">
        <v>74</v>
      </c>
      <c r="BA441" t="s">
        <v>74</v>
      </c>
      <c r="BB441">
        <v>235</v>
      </c>
      <c r="BC441">
        <v>281</v>
      </c>
      <c r="BD441" t="s">
        <v>74</v>
      </c>
      <c r="BE441" t="s">
        <v>8815</v>
      </c>
      <c r="BF441" t="str">
        <f>HYPERLINK("http://dx.doi.org/10.1016/B978-0-12-816061-9.00009-6","http://dx.doi.org/10.1016/B978-0-12-816061-9.00009-6")</f>
        <v>http://dx.doi.org/10.1016/B978-0-12-816061-9.00009-6</v>
      </c>
      <c r="BG441" t="s">
        <v>74</v>
      </c>
      <c r="BH441" t="s">
        <v>74</v>
      </c>
      <c r="BI441" t="s">
        <v>74</v>
      </c>
      <c r="BJ441" t="s">
        <v>8816</v>
      </c>
      <c r="BK441" t="s">
        <v>334</v>
      </c>
      <c r="BL441" t="s">
        <v>8816</v>
      </c>
      <c r="BM441" t="s">
        <v>74</v>
      </c>
      <c r="BN441" t="s">
        <v>74</v>
      </c>
      <c r="BO441" t="s">
        <v>74</v>
      </c>
      <c r="BP441" t="s">
        <v>74</v>
      </c>
      <c r="BQ441" t="s">
        <v>74</v>
      </c>
      <c r="BR441" t="s">
        <v>93</v>
      </c>
      <c r="BS441" t="s">
        <v>8817</v>
      </c>
      <c r="BT441" t="str">
        <f>HYPERLINK("https%3A%2F%2Fwww.webofscience.com%2Fwos%2Fwoscc%2Ffull-record%2FWOS:000540371000010","View Full Record in Web of Science")</f>
        <v>View Full Record in Web of Science</v>
      </c>
    </row>
    <row r="442" spans="1:72" x14ac:dyDescent="0.15">
      <c r="A442" t="s">
        <v>72</v>
      </c>
      <c r="B442" t="s">
        <v>240</v>
      </c>
      <c r="C442" t="s">
        <v>74</v>
      </c>
      <c r="D442" t="s">
        <v>74</v>
      </c>
      <c r="E442" t="s">
        <v>74</v>
      </c>
      <c r="F442" t="s">
        <v>241</v>
      </c>
      <c r="G442" t="s">
        <v>74</v>
      </c>
      <c r="H442" t="s">
        <v>74</v>
      </c>
      <c r="I442" t="s">
        <v>242</v>
      </c>
      <c r="J442" t="s">
        <v>243</v>
      </c>
      <c r="K442" t="s">
        <v>74</v>
      </c>
      <c r="L442" t="s">
        <v>74</v>
      </c>
      <c r="M442" t="s">
        <v>74</v>
      </c>
      <c r="N442" t="s">
        <v>78</v>
      </c>
      <c r="O442" t="s">
        <v>74</v>
      </c>
      <c r="P442" t="s">
        <v>74</v>
      </c>
      <c r="Q442" t="s">
        <v>74</v>
      </c>
      <c r="R442" t="s">
        <v>74</v>
      </c>
      <c r="S442" t="s">
        <v>74</v>
      </c>
      <c r="T442" t="s">
        <v>244</v>
      </c>
      <c r="U442" t="s">
        <v>245</v>
      </c>
      <c r="V442" t="s">
        <v>246</v>
      </c>
      <c r="W442" t="s">
        <v>247</v>
      </c>
      <c r="X442" t="s">
        <v>248</v>
      </c>
      <c r="Y442" t="s">
        <v>249</v>
      </c>
      <c r="Z442" t="s">
        <v>250</v>
      </c>
      <c r="AA442" t="s">
        <v>251</v>
      </c>
      <c r="AB442" t="s">
        <v>252</v>
      </c>
      <c r="AC442" t="s">
        <v>74</v>
      </c>
      <c r="AD442" t="s">
        <v>74</v>
      </c>
      <c r="AE442" t="s">
        <v>74</v>
      </c>
      <c r="AF442" t="s">
        <v>74</v>
      </c>
      <c r="AG442">
        <v>34</v>
      </c>
      <c r="AH442">
        <v>8</v>
      </c>
      <c r="AI442">
        <v>10</v>
      </c>
      <c r="AJ442">
        <v>1</v>
      </c>
      <c r="AK442">
        <v>139</v>
      </c>
      <c r="AL442" t="s">
        <v>74</v>
      </c>
      <c r="AM442" t="s">
        <v>74</v>
      </c>
      <c r="AN442" t="s">
        <v>74</v>
      </c>
      <c r="AO442" t="s">
        <v>253</v>
      </c>
      <c r="AP442" t="s">
        <v>254</v>
      </c>
      <c r="AQ442" t="s">
        <v>74</v>
      </c>
      <c r="AR442" t="s">
        <v>74</v>
      </c>
      <c r="AS442" t="s">
        <v>74</v>
      </c>
      <c r="AT442" t="s">
        <v>88</v>
      </c>
      <c r="AU442">
        <v>2019</v>
      </c>
      <c r="AV442">
        <v>12</v>
      </c>
      <c r="AW442">
        <v>3</v>
      </c>
      <c r="AX442" t="s">
        <v>74</v>
      </c>
      <c r="AY442" t="s">
        <v>74</v>
      </c>
      <c r="AZ442" t="s">
        <v>74</v>
      </c>
      <c r="BA442" t="s">
        <v>74</v>
      </c>
      <c r="BB442">
        <v>184</v>
      </c>
      <c r="BC442">
        <v>192</v>
      </c>
      <c r="BD442" t="s">
        <v>74</v>
      </c>
      <c r="BE442" t="s">
        <v>255</v>
      </c>
      <c r="BF442" t="str">
        <f>HYPERLINK("http://dx.doi.org/10.1007/s12265-018-9848-3","http://dx.doi.org/10.1007/s12265-018-9848-3")</f>
        <v>http://dx.doi.org/10.1007/s12265-018-9848-3</v>
      </c>
      <c r="BG442" t="s">
        <v>74</v>
      </c>
      <c r="BH442" t="s">
        <v>74</v>
      </c>
      <c r="BI442" t="s">
        <v>74</v>
      </c>
      <c r="BJ442" t="s">
        <v>256</v>
      </c>
      <c r="BK442" t="s">
        <v>112</v>
      </c>
      <c r="BL442" t="s">
        <v>257</v>
      </c>
      <c r="BM442" t="s">
        <v>74</v>
      </c>
      <c r="BN442">
        <v>30542983</v>
      </c>
      <c r="BO442" t="s">
        <v>74</v>
      </c>
      <c r="BP442" t="s">
        <v>74</v>
      </c>
      <c r="BQ442" t="s">
        <v>74</v>
      </c>
      <c r="BR442" t="s">
        <v>93</v>
      </c>
      <c r="BS442" t="s">
        <v>258</v>
      </c>
      <c r="BT442" t="str">
        <f>HYPERLINK("https%3A%2F%2Fwww.webofscience.com%2Fwos%2Fwoscc%2Ffull-record%2FWOS:000474567100003","View Full Record in Web of Science")</f>
        <v>View Full Record in Web of Science</v>
      </c>
    </row>
    <row r="443" spans="1:72" x14ac:dyDescent="0.15">
      <c r="A443" t="s">
        <v>72</v>
      </c>
      <c r="B443" t="s">
        <v>1166</v>
      </c>
      <c r="C443" t="s">
        <v>74</v>
      </c>
      <c r="D443" t="s">
        <v>74</v>
      </c>
      <c r="E443" t="s">
        <v>74</v>
      </c>
      <c r="F443" t="s">
        <v>1167</v>
      </c>
      <c r="G443" t="s">
        <v>74</v>
      </c>
      <c r="H443" t="s">
        <v>74</v>
      </c>
      <c r="I443" t="s">
        <v>1168</v>
      </c>
      <c r="J443" t="s">
        <v>406</v>
      </c>
      <c r="K443" t="s">
        <v>74</v>
      </c>
      <c r="L443" t="s">
        <v>74</v>
      </c>
      <c r="M443" t="s">
        <v>74</v>
      </c>
      <c r="N443" t="s">
        <v>78</v>
      </c>
      <c r="O443" t="s">
        <v>74</v>
      </c>
      <c r="P443" t="s">
        <v>74</v>
      </c>
      <c r="Q443" t="s">
        <v>74</v>
      </c>
      <c r="R443" t="s">
        <v>74</v>
      </c>
      <c r="S443" t="s">
        <v>74</v>
      </c>
      <c r="T443" t="s">
        <v>1169</v>
      </c>
      <c r="U443" t="s">
        <v>1170</v>
      </c>
      <c r="V443" t="s">
        <v>1171</v>
      </c>
      <c r="W443" t="s">
        <v>1172</v>
      </c>
      <c r="X443" t="s">
        <v>1173</v>
      </c>
      <c r="Y443" t="s">
        <v>1174</v>
      </c>
      <c r="Z443" t="s">
        <v>1175</v>
      </c>
      <c r="AA443" t="s">
        <v>1176</v>
      </c>
      <c r="AB443" t="s">
        <v>1177</v>
      </c>
      <c r="AC443" t="s">
        <v>74</v>
      </c>
      <c r="AD443" t="s">
        <v>74</v>
      </c>
      <c r="AE443" t="s">
        <v>74</v>
      </c>
      <c r="AF443" t="s">
        <v>74</v>
      </c>
      <c r="AG443">
        <v>76</v>
      </c>
      <c r="AH443">
        <v>8</v>
      </c>
      <c r="AI443">
        <v>8</v>
      </c>
      <c r="AJ443">
        <v>25</v>
      </c>
      <c r="AK443">
        <v>42</v>
      </c>
      <c r="AL443" t="s">
        <v>74</v>
      </c>
      <c r="AM443" t="s">
        <v>74</v>
      </c>
      <c r="AN443" t="s">
        <v>74</v>
      </c>
      <c r="AO443" t="s">
        <v>74</v>
      </c>
      <c r="AP443" t="s">
        <v>416</v>
      </c>
      <c r="AQ443" t="s">
        <v>74</v>
      </c>
      <c r="AR443" t="s">
        <v>74</v>
      </c>
      <c r="AS443" t="s">
        <v>74</v>
      </c>
      <c r="AT443" t="s">
        <v>640</v>
      </c>
      <c r="AU443">
        <v>2021</v>
      </c>
      <c r="AV443">
        <v>10</v>
      </c>
      <c r="AW443">
        <v>4</v>
      </c>
      <c r="AX443" t="s">
        <v>74</v>
      </c>
      <c r="AY443" t="s">
        <v>74</v>
      </c>
      <c r="AZ443" t="s">
        <v>74</v>
      </c>
      <c r="BA443" t="s">
        <v>74</v>
      </c>
      <c r="BB443" t="s">
        <v>74</v>
      </c>
      <c r="BC443" t="s">
        <v>74</v>
      </c>
      <c r="BD443" t="s">
        <v>1178</v>
      </c>
      <c r="BE443" t="s">
        <v>1179</v>
      </c>
      <c r="BF443" t="str">
        <f>HYPERLINK("http://dx.doi.org/10.1002/jev2.12062","http://dx.doi.org/10.1002/jev2.12062")</f>
        <v>http://dx.doi.org/10.1002/jev2.12062</v>
      </c>
      <c r="BG443" t="s">
        <v>74</v>
      </c>
      <c r="BH443" t="s">
        <v>74</v>
      </c>
      <c r="BI443" t="s">
        <v>74</v>
      </c>
      <c r="BJ443" t="s">
        <v>419</v>
      </c>
      <c r="BK443" t="s">
        <v>112</v>
      </c>
      <c r="BL443" t="s">
        <v>419</v>
      </c>
      <c r="BM443" t="s">
        <v>74</v>
      </c>
      <c r="BN443">
        <v>33643547</v>
      </c>
      <c r="BO443" t="s">
        <v>74</v>
      </c>
      <c r="BP443" t="s">
        <v>74</v>
      </c>
      <c r="BQ443" t="s">
        <v>74</v>
      </c>
      <c r="BR443" t="s">
        <v>93</v>
      </c>
      <c r="BS443" t="s">
        <v>1180</v>
      </c>
      <c r="BT443" t="str">
        <f>HYPERLINK("https%3A%2F%2Fwww.webofscience.com%2Fwos%2Fwoscc%2Ffull-record%2FWOS:000623673500007","View Full Record in Web of Science")</f>
        <v>View Full Record in Web of Science</v>
      </c>
    </row>
    <row r="444" spans="1:72" x14ac:dyDescent="0.15">
      <c r="A444" t="s">
        <v>72</v>
      </c>
      <c r="B444" t="s">
        <v>1764</v>
      </c>
      <c r="C444" t="s">
        <v>74</v>
      </c>
      <c r="D444" t="s">
        <v>74</v>
      </c>
      <c r="E444" t="s">
        <v>74</v>
      </c>
      <c r="F444" t="s">
        <v>1765</v>
      </c>
      <c r="G444" t="s">
        <v>74</v>
      </c>
      <c r="H444" t="s">
        <v>74</v>
      </c>
      <c r="I444" t="s">
        <v>1766</v>
      </c>
      <c r="J444" t="s">
        <v>1767</v>
      </c>
      <c r="K444" t="s">
        <v>74</v>
      </c>
      <c r="L444" t="s">
        <v>74</v>
      </c>
      <c r="M444" t="s">
        <v>74</v>
      </c>
      <c r="N444" t="s">
        <v>78</v>
      </c>
      <c r="O444" t="s">
        <v>74</v>
      </c>
      <c r="P444" t="s">
        <v>74</v>
      </c>
      <c r="Q444" t="s">
        <v>74</v>
      </c>
      <c r="R444" t="s">
        <v>74</v>
      </c>
      <c r="S444" t="s">
        <v>74</v>
      </c>
      <c r="T444" t="s">
        <v>1768</v>
      </c>
      <c r="U444" t="s">
        <v>1769</v>
      </c>
      <c r="V444" t="s">
        <v>1770</v>
      </c>
      <c r="W444" t="s">
        <v>1771</v>
      </c>
      <c r="X444" t="s">
        <v>1772</v>
      </c>
      <c r="Y444" t="s">
        <v>1773</v>
      </c>
      <c r="Z444" t="s">
        <v>1774</v>
      </c>
      <c r="AA444" t="s">
        <v>1775</v>
      </c>
      <c r="AB444" t="s">
        <v>1776</v>
      </c>
      <c r="AC444" t="s">
        <v>74</v>
      </c>
      <c r="AD444" t="s">
        <v>74</v>
      </c>
      <c r="AE444" t="s">
        <v>74</v>
      </c>
      <c r="AF444" t="s">
        <v>74</v>
      </c>
      <c r="AG444">
        <v>20</v>
      </c>
      <c r="AH444">
        <v>8</v>
      </c>
      <c r="AI444">
        <v>8</v>
      </c>
      <c r="AJ444">
        <v>0</v>
      </c>
      <c r="AK444">
        <v>11</v>
      </c>
      <c r="AL444" t="s">
        <v>74</v>
      </c>
      <c r="AM444" t="s">
        <v>74</v>
      </c>
      <c r="AN444" t="s">
        <v>74</v>
      </c>
      <c r="AO444" t="s">
        <v>1777</v>
      </c>
      <c r="AP444" t="s">
        <v>74</v>
      </c>
      <c r="AQ444" t="s">
        <v>74</v>
      </c>
      <c r="AR444" t="s">
        <v>74</v>
      </c>
      <c r="AS444" t="s">
        <v>74</v>
      </c>
      <c r="AT444" t="s">
        <v>743</v>
      </c>
      <c r="AU444">
        <v>2018</v>
      </c>
      <c r="AV444">
        <v>41</v>
      </c>
      <c r="AW444">
        <v>3</v>
      </c>
      <c r="AX444" t="s">
        <v>74</v>
      </c>
      <c r="AY444" t="s">
        <v>74</v>
      </c>
      <c r="AZ444" t="s">
        <v>74</v>
      </c>
      <c r="BA444" t="s">
        <v>74</v>
      </c>
      <c r="BB444">
        <v>445</v>
      </c>
      <c r="BC444">
        <v>449</v>
      </c>
      <c r="BD444" t="s">
        <v>74</v>
      </c>
      <c r="BE444" t="s">
        <v>1778</v>
      </c>
      <c r="BF444" t="str">
        <f>HYPERLINK("http://dx.doi.org/10.1248/bpb.b17-00743","http://dx.doi.org/10.1248/bpb.b17-00743")</f>
        <v>http://dx.doi.org/10.1248/bpb.b17-00743</v>
      </c>
      <c r="BG444" t="s">
        <v>74</v>
      </c>
      <c r="BH444" t="s">
        <v>74</v>
      </c>
      <c r="BI444" t="s">
        <v>74</v>
      </c>
      <c r="BJ444" t="s">
        <v>1275</v>
      </c>
      <c r="BK444" t="s">
        <v>112</v>
      </c>
      <c r="BL444" t="s">
        <v>1275</v>
      </c>
      <c r="BM444" t="s">
        <v>74</v>
      </c>
      <c r="BN444">
        <v>29491222</v>
      </c>
      <c r="BO444" t="s">
        <v>74</v>
      </c>
      <c r="BP444" t="s">
        <v>74</v>
      </c>
      <c r="BQ444" t="s">
        <v>74</v>
      </c>
      <c r="BR444" t="s">
        <v>93</v>
      </c>
      <c r="BS444" t="s">
        <v>1779</v>
      </c>
      <c r="BT444" t="str">
        <f>HYPERLINK("https%3A%2F%2Fwww.webofscience.com%2Fwos%2Fwoscc%2Ffull-record%2FWOS:000426890500022","View Full Record in Web of Science")</f>
        <v>View Full Record in Web of Science</v>
      </c>
    </row>
    <row r="445" spans="1:72" x14ac:dyDescent="0.15">
      <c r="A445" t="s">
        <v>72</v>
      </c>
      <c r="B445" t="s">
        <v>2059</v>
      </c>
      <c r="C445" t="s">
        <v>74</v>
      </c>
      <c r="D445" t="s">
        <v>74</v>
      </c>
      <c r="E445" t="s">
        <v>74</v>
      </c>
      <c r="F445" t="s">
        <v>2060</v>
      </c>
      <c r="G445" t="s">
        <v>74</v>
      </c>
      <c r="H445" t="s">
        <v>74</v>
      </c>
      <c r="I445" t="s">
        <v>2061</v>
      </c>
      <c r="J445" t="s">
        <v>667</v>
      </c>
      <c r="K445" t="s">
        <v>74</v>
      </c>
      <c r="L445" t="s">
        <v>74</v>
      </c>
      <c r="M445" t="s">
        <v>74</v>
      </c>
      <c r="N445" t="s">
        <v>78</v>
      </c>
      <c r="O445" t="s">
        <v>74</v>
      </c>
      <c r="P445" t="s">
        <v>74</v>
      </c>
      <c r="Q445" t="s">
        <v>74</v>
      </c>
      <c r="R445" t="s">
        <v>74</v>
      </c>
      <c r="S445" t="s">
        <v>74</v>
      </c>
      <c r="T445" t="s">
        <v>2062</v>
      </c>
      <c r="U445" t="s">
        <v>2063</v>
      </c>
      <c r="V445" t="s">
        <v>2064</v>
      </c>
      <c r="W445" t="s">
        <v>2065</v>
      </c>
      <c r="X445" t="s">
        <v>2066</v>
      </c>
      <c r="Y445" t="s">
        <v>2067</v>
      </c>
      <c r="Z445" t="s">
        <v>2068</v>
      </c>
      <c r="AA445" t="s">
        <v>2069</v>
      </c>
      <c r="AB445" t="s">
        <v>2070</v>
      </c>
      <c r="AC445" t="s">
        <v>74</v>
      </c>
      <c r="AD445" t="s">
        <v>74</v>
      </c>
      <c r="AE445" t="s">
        <v>74</v>
      </c>
      <c r="AF445" t="s">
        <v>74</v>
      </c>
      <c r="AG445">
        <v>90</v>
      </c>
      <c r="AH445">
        <v>8</v>
      </c>
      <c r="AI445">
        <v>8</v>
      </c>
      <c r="AJ445">
        <v>1</v>
      </c>
      <c r="AK445">
        <v>3</v>
      </c>
      <c r="AL445" t="s">
        <v>74</v>
      </c>
      <c r="AM445" t="s">
        <v>74</v>
      </c>
      <c r="AN445" t="s">
        <v>74</v>
      </c>
      <c r="AO445" t="s">
        <v>74</v>
      </c>
      <c r="AP445" t="s">
        <v>677</v>
      </c>
      <c r="AQ445" t="s">
        <v>74</v>
      </c>
      <c r="AR445" t="s">
        <v>74</v>
      </c>
      <c r="AS445" t="s">
        <v>74</v>
      </c>
      <c r="AT445" t="s">
        <v>818</v>
      </c>
      <c r="AU445">
        <v>2020</v>
      </c>
      <c r="AV445">
        <v>21</v>
      </c>
      <c r="AW445">
        <v>15</v>
      </c>
      <c r="AX445" t="s">
        <v>74</v>
      </c>
      <c r="AY445" t="s">
        <v>74</v>
      </c>
      <c r="AZ445" t="s">
        <v>74</v>
      </c>
      <c r="BA445" t="s">
        <v>74</v>
      </c>
      <c r="BB445" t="s">
        <v>74</v>
      </c>
      <c r="BC445" t="s">
        <v>74</v>
      </c>
      <c r="BD445">
        <v>5361</v>
      </c>
      <c r="BE445" t="s">
        <v>2071</v>
      </c>
      <c r="BF445" t="str">
        <f>HYPERLINK("http://dx.doi.org/10.3390/ijms21155361","http://dx.doi.org/10.3390/ijms21155361")</f>
        <v>http://dx.doi.org/10.3390/ijms21155361</v>
      </c>
      <c r="BG445" t="s">
        <v>74</v>
      </c>
      <c r="BH445" t="s">
        <v>74</v>
      </c>
      <c r="BI445" t="s">
        <v>74</v>
      </c>
      <c r="BJ445" t="s">
        <v>680</v>
      </c>
      <c r="BK445" t="s">
        <v>112</v>
      </c>
      <c r="BL445" t="s">
        <v>681</v>
      </c>
      <c r="BM445" t="s">
        <v>74</v>
      </c>
      <c r="BN445">
        <v>32731547</v>
      </c>
      <c r="BO445" t="s">
        <v>74</v>
      </c>
      <c r="BP445" t="s">
        <v>74</v>
      </c>
      <c r="BQ445" t="s">
        <v>74</v>
      </c>
      <c r="BR445" t="s">
        <v>93</v>
      </c>
      <c r="BS445" t="s">
        <v>2072</v>
      </c>
      <c r="BT445" t="str">
        <f>HYPERLINK("https%3A%2F%2Fwww.webofscience.com%2Fwos%2Fwoscc%2Ffull-record%2FWOS:000559072800001","View Full Record in Web of Science")</f>
        <v>View Full Record in Web of Science</v>
      </c>
    </row>
    <row r="446" spans="1:72" x14ac:dyDescent="0.15">
      <c r="A446" t="s">
        <v>72</v>
      </c>
      <c r="B446" t="s">
        <v>2480</v>
      </c>
      <c r="C446" t="s">
        <v>74</v>
      </c>
      <c r="D446" t="s">
        <v>74</v>
      </c>
      <c r="E446" t="s">
        <v>74</v>
      </c>
      <c r="F446" t="s">
        <v>2481</v>
      </c>
      <c r="G446" t="s">
        <v>74</v>
      </c>
      <c r="H446" t="s">
        <v>74</v>
      </c>
      <c r="I446" t="s">
        <v>2482</v>
      </c>
      <c r="J446" t="s">
        <v>2483</v>
      </c>
      <c r="K446" t="s">
        <v>74</v>
      </c>
      <c r="L446" t="s">
        <v>74</v>
      </c>
      <c r="M446" t="s">
        <v>74</v>
      </c>
      <c r="N446" t="s">
        <v>78</v>
      </c>
      <c r="O446" t="s">
        <v>74</v>
      </c>
      <c r="P446" t="s">
        <v>74</v>
      </c>
      <c r="Q446" t="s">
        <v>74</v>
      </c>
      <c r="R446" t="s">
        <v>74</v>
      </c>
      <c r="S446" t="s">
        <v>74</v>
      </c>
      <c r="T446" t="s">
        <v>2484</v>
      </c>
      <c r="U446" t="s">
        <v>2485</v>
      </c>
      <c r="V446" t="s">
        <v>2486</v>
      </c>
      <c r="W446" t="s">
        <v>2487</v>
      </c>
      <c r="X446" t="s">
        <v>2488</v>
      </c>
      <c r="Y446" t="s">
        <v>2489</v>
      </c>
      <c r="Z446" t="s">
        <v>2490</v>
      </c>
      <c r="AA446" t="s">
        <v>2491</v>
      </c>
      <c r="AB446" t="s">
        <v>2492</v>
      </c>
      <c r="AC446" t="s">
        <v>74</v>
      </c>
      <c r="AD446" t="s">
        <v>74</v>
      </c>
      <c r="AE446" t="s">
        <v>74</v>
      </c>
      <c r="AF446" t="s">
        <v>74</v>
      </c>
      <c r="AG446">
        <v>86</v>
      </c>
      <c r="AH446">
        <v>8</v>
      </c>
      <c r="AI446">
        <v>8</v>
      </c>
      <c r="AJ446">
        <v>24</v>
      </c>
      <c r="AK446">
        <v>64</v>
      </c>
      <c r="AL446" t="s">
        <v>74</v>
      </c>
      <c r="AM446" t="s">
        <v>74</v>
      </c>
      <c r="AN446" t="s">
        <v>74</v>
      </c>
      <c r="AO446" t="s">
        <v>2493</v>
      </c>
      <c r="AP446" t="s">
        <v>2494</v>
      </c>
      <c r="AQ446" t="s">
        <v>74</v>
      </c>
      <c r="AR446" t="s">
        <v>74</v>
      </c>
      <c r="AS446" t="s">
        <v>74</v>
      </c>
      <c r="AT446" t="s">
        <v>659</v>
      </c>
      <c r="AU446">
        <v>2021</v>
      </c>
      <c r="AV446">
        <v>33</v>
      </c>
      <c r="AW446">
        <v>35</v>
      </c>
      <c r="AX446" t="s">
        <v>74</v>
      </c>
      <c r="AY446" t="s">
        <v>74</v>
      </c>
      <c r="AZ446" t="s">
        <v>74</v>
      </c>
      <c r="BA446" t="s">
        <v>74</v>
      </c>
      <c r="BB446" t="s">
        <v>74</v>
      </c>
      <c r="BC446" t="s">
        <v>74</v>
      </c>
      <c r="BD446">
        <v>2008493</v>
      </c>
      <c r="BE446" t="s">
        <v>2495</v>
      </c>
      <c r="BF446" t="str">
        <f>HYPERLINK("http://dx.doi.org/10.1002/adma.202008493","http://dx.doi.org/10.1002/adma.202008493")</f>
        <v>http://dx.doi.org/10.1002/adma.202008493</v>
      </c>
      <c r="BG446" t="s">
        <v>74</v>
      </c>
      <c r="BH446" t="s">
        <v>1005</v>
      </c>
      <c r="BI446" t="s">
        <v>74</v>
      </c>
      <c r="BJ446" t="s">
        <v>2496</v>
      </c>
      <c r="BK446" t="s">
        <v>112</v>
      </c>
      <c r="BL446" t="s">
        <v>2124</v>
      </c>
      <c r="BM446" t="s">
        <v>74</v>
      </c>
      <c r="BN446">
        <v>34309083</v>
      </c>
      <c r="BO446" t="s">
        <v>74</v>
      </c>
      <c r="BP446" t="s">
        <v>74</v>
      </c>
      <c r="BQ446" t="s">
        <v>74</v>
      </c>
      <c r="BR446" t="s">
        <v>93</v>
      </c>
      <c r="BS446" t="s">
        <v>2497</v>
      </c>
      <c r="BT446" t="str">
        <f>HYPERLINK("https%3A%2F%2Fwww.webofscience.com%2Fwos%2Fwoscc%2Ffull-record%2FWOS:000678864200001","View Full Record in Web of Science")</f>
        <v>View Full Record in Web of Science</v>
      </c>
    </row>
    <row r="447" spans="1:72" x14ac:dyDescent="0.15">
      <c r="A447" t="s">
        <v>72</v>
      </c>
      <c r="B447" t="s">
        <v>3346</v>
      </c>
      <c r="C447" t="s">
        <v>74</v>
      </c>
      <c r="D447" t="s">
        <v>74</v>
      </c>
      <c r="E447" t="s">
        <v>74</v>
      </c>
      <c r="F447" t="s">
        <v>3347</v>
      </c>
      <c r="G447" t="s">
        <v>74</v>
      </c>
      <c r="H447" t="s">
        <v>74</v>
      </c>
      <c r="I447" t="s">
        <v>3348</v>
      </c>
      <c r="J447" t="s">
        <v>568</v>
      </c>
      <c r="K447" t="s">
        <v>74</v>
      </c>
      <c r="L447" t="s">
        <v>74</v>
      </c>
      <c r="M447" t="s">
        <v>74</v>
      </c>
      <c r="N447" t="s">
        <v>78</v>
      </c>
      <c r="O447" t="s">
        <v>74</v>
      </c>
      <c r="P447" t="s">
        <v>74</v>
      </c>
      <c r="Q447" t="s">
        <v>74</v>
      </c>
      <c r="R447" t="s">
        <v>74</v>
      </c>
      <c r="S447" t="s">
        <v>74</v>
      </c>
      <c r="T447" t="s">
        <v>74</v>
      </c>
      <c r="U447" t="s">
        <v>3349</v>
      </c>
      <c r="V447" t="s">
        <v>3350</v>
      </c>
      <c r="W447" t="s">
        <v>3351</v>
      </c>
      <c r="X447" t="s">
        <v>3352</v>
      </c>
      <c r="Y447" t="s">
        <v>3353</v>
      </c>
      <c r="Z447" t="s">
        <v>3354</v>
      </c>
      <c r="AA447" t="s">
        <v>1018</v>
      </c>
      <c r="AB447" t="s">
        <v>1019</v>
      </c>
      <c r="AC447" t="s">
        <v>74</v>
      </c>
      <c r="AD447" t="s">
        <v>74</v>
      </c>
      <c r="AE447" t="s">
        <v>74</v>
      </c>
      <c r="AF447" t="s">
        <v>74</v>
      </c>
      <c r="AG447">
        <v>32</v>
      </c>
      <c r="AH447">
        <v>8</v>
      </c>
      <c r="AI447">
        <v>8</v>
      </c>
      <c r="AJ447">
        <v>0</v>
      </c>
      <c r="AK447">
        <v>6</v>
      </c>
      <c r="AL447" t="s">
        <v>74</v>
      </c>
      <c r="AM447" t="s">
        <v>74</v>
      </c>
      <c r="AN447" t="s">
        <v>74</v>
      </c>
      <c r="AO447" t="s">
        <v>577</v>
      </c>
      <c r="AP447" t="s">
        <v>74</v>
      </c>
      <c r="AQ447" t="s">
        <v>74</v>
      </c>
      <c r="AR447" t="s">
        <v>74</v>
      </c>
      <c r="AS447" t="s">
        <v>74</v>
      </c>
      <c r="AT447" t="s">
        <v>3355</v>
      </c>
      <c r="AU447">
        <v>2016</v>
      </c>
      <c r="AV447">
        <v>11</v>
      </c>
      <c r="AW447">
        <v>7</v>
      </c>
      <c r="AX447" t="s">
        <v>74</v>
      </c>
      <c r="AY447" t="s">
        <v>74</v>
      </c>
      <c r="AZ447" t="s">
        <v>74</v>
      </c>
      <c r="BA447" t="s">
        <v>74</v>
      </c>
      <c r="BB447" t="s">
        <v>74</v>
      </c>
      <c r="BC447" t="s">
        <v>74</v>
      </c>
      <c r="BD447" t="s">
        <v>3356</v>
      </c>
      <c r="BE447" t="s">
        <v>3357</v>
      </c>
      <c r="BF447" t="str">
        <f>HYPERLINK("http://dx.doi.org/10.1371/journal.pone.0159105","http://dx.doi.org/10.1371/journal.pone.0159105")</f>
        <v>http://dx.doi.org/10.1371/journal.pone.0159105</v>
      </c>
      <c r="BG447" t="s">
        <v>74</v>
      </c>
      <c r="BH447" t="s">
        <v>74</v>
      </c>
      <c r="BI447" t="s">
        <v>74</v>
      </c>
      <c r="BJ447" t="s">
        <v>545</v>
      </c>
      <c r="BK447" t="s">
        <v>112</v>
      </c>
      <c r="BL447" t="s">
        <v>546</v>
      </c>
      <c r="BM447" t="s">
        <v>74</v>
      </c>
      <c r="BN447">
        <v>27434143</v>
      </c>
      <c r="BO447" t="s">
        <v>74</v>
      </c>
      <c r="BP447" t="s">
        <v>74</v>
      </c>
      <c r="BQ447" t="s">
        <v>74</v>
      </c>
      <c r="BR447" t="s">
        <v>93</v>
      </c>
      <c r="BS447" t="s">
        <v>3358</v>
      </c>
      <c r="BT447" t="str">
        <f>HYPERLINK("https%3A%2F%2Fwww.webofscience.com%2Fwos%2Fwoscc%2Ffull-record%2FWOS:000380169600033","View Full Record in Web of Science")</f>
        <v>View Full Record in Web of Science</v>
      </c>
    </row>
    <row r="448" spans="1:72" x14ac:dyDescent="0.15">
      <c r="A448" t="s">
        <v>72</v>
      </c>
      <c r="B448" t="s">
        <v>3979</v>
      </c>
      <c r="C448" t="s">
        <v>74</v>
      </c>
      <c r="D448" t="s">
        <v>74</v>
      </c>
      <c r="E448" t="s">
        <v>74</v>
      </c>
      <c r="F448" t="s">
        <v>3980</v>
      </c>
      <c r="G448" t="s">
        <v>74</v>
      </c>
      <c r="H448" t="s">
        <v>74</v>
      </c>
      <c r="I448" t="s">
        <v>3981</v>
      </c>
      <c r="J448" t="s">
        <v>2942</v>
      </c>
      <c r="K448" t="s">
        <v>74</v>
      </c>
      <c r="L448" t="s">
        <v>74</v>
      </c>
      <c r="M448" t="s">
        <v>74</v>
      </c>
      <c r="N448" t="s">
        <v>78</v>
      </c>
      <c r="O448" t="s">
        <v>74</v>
      </c>
      <c r="P448" t="s">
        <v>74</v>
      </c>
      <c r="Q448" t="s">
        <v>74</v>
      </c>
      <c r="R448" t="s">
        <v>74</v>
      </c>
      <c r="S448" t="s">
        <v>74</v>
      </c>
      <c r="T448" t="s">
        <v>74</v>
      </c>
      <c r="U448" t="s">
        <v>3982</v>
      </c>
      <c r="V448" t="s">
        <v>3983</v>
      </c>
      <c r="W448" t="s">
        <v>3984</v>
      </c>
      <c r="X448" t="s">
        <v>3985</v>
      </c>
      <c r="Y448" t="s">
        <v>3986</v>
      </c>
      <c r="Z448" t="s">
        <v>3987</v>
      </c>
      <c r="AA448" t="s">
        <v>3988</v>
      </c>
      <c r="AB448" t="s">
        <v>3989</v>
      </c>
      <c r="AC448" t="s">
        <v>74</v>
      </c>
      <c r="AD448" t="s">
        <v>74</v>
      </c>
      <c r="AE448" t="s">
        <v>74</v>
      </c>
      <c r="AF448" t="s">
        <v>74</v>
      </c>
      <c r="AG448">
        <v>40</v>
      </c>
      <c r="AH448">
        <v>8</v>
      </c>
      <c r="AI448">
        <v>8</v>
      </c>
      <c r="AJ448">
        <v>1</v>
      </c>
      <c r="AK448">
        <v>6</v>
      </c>
      <c r="AL448" t="s">
        <v>74</v>
      </c>
      <c r="AM448" t="s">
        <v>74</v>
      </c>
      <c r="AN448" t="s">
        <v>74</v>
      </c>
      <c r="AO448" t="s">
        <v>74</v>
      </c>
      <c r="AP448" t="s">
        <v>2951</v>
      </c>
      <c r="AQ448" t="s">
        <v>74</v>
      </c>
      <c r="AR448" t="s">
        <v>74</v>
      </c>
      <c r="AS448" t="s">
        <v>74</v>
      </c>
      <c r="AT448" t="s">
        <v>3990</v>
      </c>
      <c r="AU448">
        <v>2020</v>
      </c>
      <c r="AV448">
        <v>3</v>
      </c>
      <c r="AW448">
        <v>1</v>
      </c>
      <c r="AX448" t="s">
        <v>74</v>
      </c>
      <c r="AY448" t="s">
        <v>74</v>
      </c>
      <c r="AZ448" t="s">
        <v>74</v>
      </c>
      <c r="BA448" t="s">
        <v>74</v>
      </c>
      <c r="BB448" t="s">
        <v>74</v>
      </c>
      <c r="BC448" t="s">
        <v>74</v>
      </c>
      <c r="BD448">
        <v>613</v>
      </c>
      <c r="BE448" t="s">
        <v>3991</v>
      </c>
      <c r="BF448" t="str">
        <f>HYPERLINK("http://dx.doi.org/10.1038/s42003-020-01336-y","http://dx.doi.org/10.1038/s42003-020-01336-y")</f>
        <v>http://dx.doi.org/10.1038/s42003-020-01336-y</v>
      </c>
      <c r="BG448" t="s">
        <v>74</v>
      </c>
      <c r="BH448" t="s">
        <v>74</v>
      </c>
      <c r="BI448" t="s">
        <v>74</v>
      </c>
      <c r="BJ448" t="s">
        <v>2954</v>
      </c>
      <c r="BK448" t="s">
        <v>112</v>
      </c>
      <c r="BL448" t="s">
        <v>2955</v>
      </c>
      <c r="BM448" t="s">
        <v>74</v>
      </c>
      <c r="BN448">
        <v>33106557</v>
      </c>
      <c r="BO448" t="s">
        <v>74</v>
      </c>
      <c r="BP448" t="s">
        <v>74</v>
      </c>
      <c r="BQ448" t="s">
        <v>74</v>
      </c>
      <c r="BR448" t="s">
        <v>93</v>
      </c>
      <c r="BS448" t="s">
        <v>3992</v>
      </c>
      <c r="BT448" t="str">
        <f>HYPERLINK("https%3A%2F%2Fwww.webofscience.com%2Fwos%2Fwoscc%2Ffull-record%2FWOS:000588473600001","View Full Record in Web of Science")</f>
        <v>View Full Record in Web of Science</v>
      </c>
    </row>
    <row r="449" spans="1:72" x14ac:dyDescent="0.15">
      <c r="A449" t="s">
        <v>72</v>
      </c>
      <c r="B449" t="s">
        <v>5353</v>
      </c>
      <c r="C449" t="s">
        <v>74</v>
      </c>
      <c r="D449" t="s">
        <v>74</v>
      </c>
      <c r="E449" t="s">
        <v>74</v>
      </c>
      <c r="F449" t="s">
        <v>5354</v>
      </c>
      <c r="G449" t="s">
        <v>74</v>
      </c>
      <c r="H449" t="s">
        <v>74</v>
      </c>
      <c r="I449" t="s">
        <v>5355</v>
      </c>
      <c r="J449" t="s">
        <v>5356</v>
      </c>
      <c r="K449" t="s">
        <v>74</v>
      </c>
      <c r="L449" t="s">
        <v>74</v>
      </c>
      <c r="M449" t="s">
        <v>74</v>
      </c>
      <c r="N449" t="s">
        <v>78</v>
      </c>
      <c r="O449" t="s">
        <v>74</v>
      </c>
      <c r="P449" t="s">
        <v>74</v>
      </c>
      <c r="Q449" t="s">
        <v>74</v>
      </c>
      <c r="R449" t="s">
        <v>74</v>
      </c>
      <c r="S449" t="s">
        <v>74</v>
      </c>
      <c r="T449" t="s">
        <v>74</v>
      </c>
      <c r="U449" t="s">
        <v>5357</v>
      </c>
      <c r="V449" t="s">
        <v>5358</v>
      </c>
      <c r="W449" t="s">
        <v>5359</v>
      </c>
      <c r="X449" t="s">
        <v>5360</v>
      </c>
      <c r="Y449" t="s">
        <v>5361</v>
      </c>
      <c r="Z449" t="s">
        <v>5362</v>
      </c>
      <c r="AA449" t="s">
        <v>5363</v>
      </c>
      <c r="AB449" t="s">
        <v>5364</v>
      </c>
      <c r="AC449" t="s">
        <v>74</v>
      </c>
      <c r="AD449" t="s">
        <v>74</v>
      </c>
      <c r="AE449" t="s">
        <v>74</v>
      </c>
      <c r="AF449" t="s">
        <v>74</v>
      </c>
      <c r="AG449">
        <v>45</v>
      </c>
      <c r="AH449">
        <v>8</v>
      </c>
      <c r="AI449">
        <v>8</v>
      </c>
      <c r="AJ449">
        <v>2</v>
      </c>
      <c r="AK449">
        <v>11</v>
      </c>
      <c r="AL449" t="s">
        <v>74</v>
      </c>
      <c r="AM449" t="s">
        <v>74</v>
      </c>
      <c r="AN449" t="s">
        <v>74</v>
      </c>
      <c r="AO449" t="s">
        <v>5365</v>
      </c>
      <c r="AP449" t="s">
        <v>74</v>
      </c>
      <c r="AQ449" t="s">
        <v>74</v>
      </c>
      <c r="AR449" t="s">
        <v>74</v>
      </c>
      <c r="AS449" t="s">
        <v>74</v>
      </c>
      <c r="AT449" t="s">
        <v>1457</v>
      </c>
      <c r="AU449">
        <v>2021</v>
      </c>
      <c r="AV449">
        <v>12</v>
      </c>
      <c r="AW449">
        <v>9</v>
      </c>
      <c r="AX449" t="s">
        <v>74</v>
      </c>
      <c r="AY449" t="s">
        <v>74</v>
      </c>
      <c r="AZ449" t="s">
        <v>74</v>
      </c>
      <c r="BA449" t="s">
        <v>74</v>
      </c>
      <c r="BB449" t="s">
        <v>74</v>
      </c>
      <c r="BC449" t="s">
        <v>74</v>
      </c>
      <c r="BD449">
        <v>815</v>
      </c>
      <c r="BE449" t="s">
        <v>5366</v>
      </c>
      <c r="BF449" t="str">
        <f>HYPERLINK("http://dx.doi.org/10.1038/s41419-021-04101-z","http://dx.doi.org/10.1038/s41419-021-04101-z")</f>
        <v>http://dx.doi.org/10.1038/s41419-021-04101-z</v>
      </c>
      <c r="BG449" t="s">
        <v>74</v>
      </c>
      <c r="BH449" t="s">
        <v>74</v>
      </c>
      <c r="BI449" t="s">
        <v>74</v>
      </c>
      <c r="BJ449" t="s">
        <v>419</v>
      </c>
      <c r="BK449" t="s">
        <v>112</v>
      </c>
      <c r="BL449" t="s">
        <v>419</v>
      </c>
      <c r="BM449" t="s">
        <v>74</v>
      </c>
      <c r="BN449">
        <v>34453041</v>
      </c>
      <c r="BO449" t="s">
        <v>74</v>
      </c>
      <c r="BP449" t="s">
        <v>74</v>
      </c>
      <c r="BQ449" t="s">
        <v>74</v>
      </c>
      <c r="BR449" t="s">
        <v>93</v>
      </c>
      <c r="BS449" t="s">
        <v>5367</v>
      </c>
      <c r="BT449" t="str">
        <f>HYPERLINK("https%3A%2F%2Fwww.webofscience.com%2Fwos%2Fwoscc%2Ffull-record%2FWOS:000690954100004","View Full Record in Web of Science")</f>
        <v>View Full Record in Web of Science</v>
      </c>
    </row>
    <row r="450" spans="1:72" x14ac:dyDescent="0.15">
      <c r="A450" t="s">
        <v>72</v>
      </c>
      <c r="B450" t="s">
        <v>5759</v>
      </c>
      <c r="C450" t="s">
        <v>74</v>
      </c>
      <c r="D450" t="s">
        <v>74</v>
      </c>
      <c r="E450" t="s">
        <v>74</v>
      </c>
      <c r="F450" t="s">
        <v>5760</v>
      </c>
      <c r="G450" t="s">
        <v>74</v>
      </c>
      <c r="H450" t="s">
        <v>74</v>
      </c>
      <c r="I450" t="s">
        <v>5761</v>
      </c>
      <c r="J450" t="s">
        <v>5762</v>
      </c>
      <c r="K450" t="s">
        <v>74</v>
      </c>
      <c r="L450" t="s">
        <v>74</v>
      </c>
      <c r="M450" t="s">
        <v>74</v>
      </c>
      <c r="N450" t="s">
        <v>78</v>
      </c>
      <c r="O450" t="s">
        <v>74</v>
      </c>
      <c r="P450" t="s">
        <v>74</v>
      </c>
      <c r="Q450" t="s">
        <v>74</v>
      </c>
      <c r="R450" t="s">
        <v>74</v>
      </c>
      <c r="S450" t="s">
        <v>74</v>
      </c>
      <c r="T450" t="s">
        <v>74</v>
      </c>
      <c r="U450" t="s">
        <v>5763</v>
      </c>
      <c r="V450" t="s">
        <v>5764</v>
      </c>
      <c r="W450" t="s">
        <v>5765</v>
      </c>
      <c r="X450" t="s">
        <v>5766</v>
      </c>
      <c r="Y450" t="s">
        <v>5767</v>
      </c>
      <c r="Z450" t="s">
        <v>5768</v>
      </c>
      <c r="AA450" t="s">
        <v>5769</v>
      </c>
      <c r="AB450" t="s">
        <v>5770</v>
      </c>
      <c r="AC450" t="s">
        <v>74</v>
      </c>
      <c r="AD450" t="s">
        <v>74</v>
      </c>
      <c r="AE450" t="s">
        <v>74</v>
      </c>
      <c r="AF450" t="s">
        <v>74</v>
      </c>
      <c r="AG450">
        <v>53</v>
      </c>
      <c r="AH450">
        <v>8</v>
      </c>
      <c r="AI450">
        <v>8</v>
      </c>
      <c r="AJ450">
        <v>2</v>
      </c>
      <c r="AK450">
        <v>9</v>
      </c>
      <c r="AL450" t="s">
        <v>74</v>
      </c>
      <c r="AM450" t="s">
        <v>74</v>
      </c>
      <c r="AN450" t="s">
        <v>74</v>
      </c>
      <c r="AO450" t="s">
        <v>5771</v>
      </c>
      <c r="AP450" t="s">
        <v>5772</v>
      </c>
      <c r="AQ450" t="s">
        <v>74</v>
      </c>
      <c r="AR450" t="s">
        <v>74</v>
      </c>
      <c r="AS450" t="s">
        <v>74</v>
      </c>
      <c r="AT450" t="s">
        <v>236</v>
      </c>
      <c r="AU450">
        <v>2020</v>
      </c>
      <c r="AV450">
        <v>72</v>
      </c>
      <c r="AW450">
        <v>11</v>
      </c>
      <c r="AX450" t="s">
        <v>74</v>
      </c>
      <c r="AY450" t="s">
        <v>74</v>
      </c>
      <c r="AZ450" t="s">
        <v>74</v>
      </c>
      <c r="BA450" t="s">
        <v>74</v>
      </c>
      <c r="BB450">
        <v>1905</v>
      </c>
      <c r="BC450">
        <v>1915</v>
      </c>
      <c r="BD450" t="s">
        <v>74</v>
      </c>
      <c r="BE450" t="s">
        <v>5773</v>
      </c>
      <c r="BF450" t="str">
        <f>HYPERLINK("http://dx.doi.org/10.1002/art.41418","http://dx.doi.org/10.1002/art.41418")</f>
        <v>http://dx.doi.org/10.1002/art.41418</v>
      </c>
      <c r="BG450" t="s">
        <v>74</v>
      </c>
      <c r="BH450" t="s">
        <v>1079</v>
      </c>
      <c r="BI450" t="s">
        <v>74</v>
      </c>
      <c r="BJ450" t="s">
        <v>5774</v>
      </c>
      <c r="BK450" t="s">
        <v>112</v>
      </c>
      <c r="BL450" t="s">
        <v>5774</v>
      </c>
      <c r="BM450" t="s">
        <v>74</v>
      </c>
      <c r="BN450">
        <v>32602227</v>
      </c>
      <c r="BO450" t="s">
        <v>74</v>
      </c>
      <c r="BP450" t="s">
        <v>74</v>
      </c>
      <c r="BQ450" t="s">
        <v>74</v>
      </c>
      <c r="BR450" t="s">
        <v>93</v>
      </c>
      <c r="BS450" t="s">
        <v>5775</v>
      </c>
      <c r="BT450" t="str">
        <f>HYPERLINK("https%3A%2F%2Fwww.webofscience.com%2Fwos%2Fwoscc%2Ffull-record%2FWOS:000577775500001","View Full Record in Web of Science")</f>
        <v>View Full Record in Web of Science</v>
      </c>
    </row>
    <row r="451" spans="1:72" x14ac:dyDescent="0.15">
      <c r="A451" t="s">
        <v>72</v>
      </c>
      <c r="B451" t="s">
        <v>5989</v>
      </c>
      <c r="C451" t="s">
        <v>74</v>
      </c>
      <c r="D451" t="s">
        <v>74</v>
      </c>
      <c r="E451" t="s">
        <v>74</v>
      </c>
      <c r="F451" t="s">
        <v>5990</v>
      </c>
      <c r="G451" t="s">
        <v>74</v>
      </c>
      <c r="H451" t="s">
        <v>74</v>
      </c>
      <c r="I451" t="s">
        <v>5991</v>
      </c>
      <c r="J451" t="s">
        <v>1828</v>
      </c>
      <c r="K451" t="s">
        <v>74</v>
      </c>
      <c r="L451" t="s">
        <v>74</v>
      </c>
      <c r="M451" t="s">
        <v>74</v>
      </c>
      <c r="N451" t="s">
        <v>78</v>
      </c>
      <c r="O451" t="s">
        <v>74</v>
      </c>
      <c r="P451" t="s">
        <v>74</v>
      </c>
      <c r="Q451" t="s">
        <v>74</v>
      </c>
      <c r="R451" t="s">
        <v>74</v>
      </c>
      <c r="S451" t="s">
        <v>74</v>
      </c>
      <c r="T451" t="s">
        <v>74</v>
      </c>
      <c r="U451" t="s">
        <v>5992</v>
      </c>
      <c r="V451" t="s">
        <v>5993</v>
      </c>
      <c r="W451" t="s">
        <v>5994</v>
      </c>
      <c r="X451" t="s">
        <v>5995</v>
      </c>
      <c r="Y451" t="s">
        <v>5996</v>
      </c>
      <c r="Z451" t="s">
        <v>5997</v>
      </c>
      <c r="AA451" t="s">
        <v>5998</v>
      </c>
      <c r="AB451" t="s">
        <v>5999</v>
      </c>
      <c r="AC451" t="s">
        <v>74</v>
      </c>
      <c r="AD451" t="s">
        <v>74</v>
      </c>
      <c r="AE451" t="s">
        <v>74</v>
      </c>
      <c r="AF451" t="s">
        <v>74</v>
      </c>
      <c r="AG451">
        <v>74</v>
      </c>
      <c r="AH451">
        <v>8</v>
      </c>
      <c r="AI451">
        <v>8</v>
      </c>
      <c r="AJ451">
        <v>0</v>
      </c>
      <c r="AK451">
        <v>5</v>
      </c>
      <c r="AL451" t="s">
        <v>74</v>
      </c>
      <c r="AM451" t="s">
        <v>74</v>
      </c>
      <c r="AN451" t="s">
        <v>74</v>
      </c>
      <c r="AO451" t="s">
        <v>1837</v>
      </c>
      <c r="AP451" t="s">
        <v>74</v>
      </c>
      <c r="AQ451" t="s">
        <v>74</v>
      </c>
      <c r="AR451" t="s">
        <v>74</v>
      </c>
      <c r="AS451" t="s">
        <v>74</v>
      </c>
      <c r="AT451" t="s">
        <v>271</v>
      </c>
      <c r="AU451">
        <v>2020</v>
      </c>
      <c r="AV451">
        <v>10</v>
      </c>
      <c r="AW451">
        <v>1</v>
      </c>
      <c r="AX451" t="s">
        <v>74</v>
      </c>
      <c r="AY451" t="s">
        <v>74</v>
      </c>
      <c r="AZ451" t="s">
        <v>74</v>
      </c>
      <c r="BA451" t="s">
        <v>74</v>
      </c>
      <c r="BB451" t="s">
        <v>74</v>
      </c>
      <c r="BC451" t="s">
        <v>74</v>
      </c>
      <c r="BD451">
        <v>15824</v>
      </c>
      <c r="BE451" t="s">
        <v>6000</v>
      </c>
      <c r="BF451" t="str">
        <f>HYPERLINK("http://dx.doi.org/10.1038/s41598-020-72706-z","http://dx.doi.org/10.1038/s41598-020-72706-z")</f>
        <v>http://dx.doi.org/10.1038/s41598-020-72706-z</v>
      </c>
      <c r="BG451" t="s">
        <v>74</v>
      </c>
      <c r="BH451" t="s">
        <v>74</v>
      </c>
      <c r="BI451" t="s">
        <v>74</v>
      </c>
      <c r="BJ451" t="s">
        <v>545</v>
      </c>
      <c r="BK451" t="s">
        <v>112</v>
      </c>
      <c r="BL451" t="s">
        <v>546</v>
      </c>
      <c r="BM451" t="s">
        <v>74</v>
      </c>
      <c r="BN451">
        <v>32978452</v>
      </c>
      <c r="BO451" t="s">
        <v>74</v>
      </c>
      <c r="BP451" t="s">
        <v>74</v>
      </c>
      <c r="BQ451" t="s">
        <v>74</v>
      </c>
      <c r="BR451" t="s">
        <v>93</v>
      </c>
      <c r="BS451" t="s">
        <v>6001</v>
      </c>
      <c r="BT451" t="str">
        <f>HYPERLINK("https%3A%2F%2Fwww.webofscience.com%2Fwos%2Fwoscc%2Ffull-record%2FWOS:000577252400055","View Full Record in Web of Science")</f>
        <v>View Full Record in Web of Science</v>
      </c>
    </row>
    <row r="452" spans="1:72" x14ac:dyDescent="0.15">
      <c r="A452" t="s">
        <v>312</v>
      </c>
      <c r="B452" t="s">
        <v>7379</v>
      </c>
      <c r="C452" t="s">
        <v>74</v>
      </c>
      <c r="D452" t="s">
        <v>7380</v>
      </c>
      <c r="E452" t="s">
        <v>74</v>
      </c>
      <c r="F452" t="s">
        <v>7379</v>
      </c>
      <c r="G452" t="s">
        <v>74</v>
      </c>
      <c r="H452" t="s">
        <v>74</v>
      </c>
      <c r="I452" t="s">
        <v>7381</v>
      </c>
      <c r="J452" t="s">
        <v>7382</v>
      </c>
      <c r="K452" t="s">
        <v>7383</v>
      </c>
      <c r="L452" t="s">
        <v>74</v>
      </c>
      <c r="M452" t="s">
        <v>74</v>
      </c>
      <c r="N452" t="s">
        <v>752</v>
      </c>
      <c r="O452" t="s">
        <v>7384</v>
      </c>
      <c r="P452" t="s">
        <v>7385</v>
      </c>
      <c r="Q452" t="s">
        <v>7386</v>
      </c>
      <c r="R452" t="s">
        <v>74</v>
      </c>
      <c r="S452" t="s">
        <v>74</v>
      </c>
      <c r="T452" t="s">
        <v>74</v>
      </c>
      <c r="U452" t="s">
        <v>7387</v>
      </c>
      <c r="V452" t="s">
        <v>74</v>
      </c>
      <c r="W452" t="s">
        <v>7388</v>
      </c>
      <c r="X452" t="s">
        <v>7389</v>
      </c>
      <c r="Y452" t="s">
        <v>7390</v>
      </c>
      <c r="Z452" t="s">
        <v>74</v>
      </c>
      <c r="AA452" t="s">
        <v>74</v>
      </c>
      <c r="AB452" t="s">
        <v>74</v>
      </c>
      <c r="AC452" t="s">
        <v>74</v>
      </c>
      <c r="AD452" t="s">
        <v>74</v>
      </c>
      <c r="AE452" t="s">
        <v>74</v>
      </c>
      <c r="AF452" t="s">
        <v>74</v>
      </c>
      <c r="AG452">
        <v>24</v>
      </c>
      <c r="AH452">
        <v>8</v>
      </c>
      <c r="AI452">
        <v>8</v>
      </c>
      <c r="AJ452">
        <v>0</v>
      </c>
      <c r="AK452">
        <v>3</v>
      </c>
      <c r="AL452" t="s">
        <v>74</v>
      </c>
      <c r="AM452" t="s">
        <v>74</v>
      </c>
      <c r="AN452" t="s">
        <v>74</v>
      </c>
      <c r="AO452" t="s">
        <v>5678</v>
      </c>
      <c r="AP452" t="s">
        <v>74</v>
      </c>
      <c r="AQ452" t="s">
        <v>7391</v>
      </c>
      <c r="AR452" t="s">
        <v>74</v>
      </c>
      <c r="AS452" t="s">
        <v>74</v>
      </c>
      <c r="AT452" t="s">
        <v>74</v>
      </c>
      <c r="AU452">
        <v>2000</v>
      </c>
      <c r="AV452">
        <v>906</v>
      </c>
      <c r="AW452" t="s">
        <v>74</v>
      </c>
      <c r="AX452" t="s">
        <v>74</v>
      </c>
      <c r="AY452" t="s">
        <v>74</v>
      </c>
      <c r="AZ452" t="s">
        <v>74</v>
      </c>
      <c r="BA452" t="s">
        <v>74</v>
      </c>
      <c r="BB452">
        <v>124</v>
      </c>
      <c r="BC452">
        <v>128</v>
      </c>
      <c r="BD452" t="s">
        <v>74</v>
      </c>
      <c r="BE452" t="s">
        <v>74</v>
      </c>
      <c r="BF452" t="s">
        <v>74</v>
      </c>
      <c r="BG452" t="s">
        <v>74</v>
      </c>
      <c r="BH452" t="s">
        <v>74</v>
      </c>
      <c r="BI452" t="s">
        <v>74</v>
      </c>
      <c r="BJ452" t="s">
        <v>7392</v>
      </c>
      <c r="BK452" t="s">
        <v>5682</v>
      </c>
      <c r="BL452" t="s">
        <v>7393</v>
      </c>
      <c r="BM452" t="s">
        <v>74</v>
      </c>
      <c r="BN452">
        <v>10818607</v>
      </c>
      <c r="BO452" t="s">
        <v>74</v>
      </c>
      <c r="BP452" t="s">
        <v>74</v>
      </c>
      <c r="BQ452" t="s">
        <v>74</v>
      </c>
      <c r="BR452" t="s">
        <v>93</v>
      </c>
      <c r="BS452" t="s">
        <v>7394</v>
      </c>
      <c r="BT452" t="str">
        <f>HYPERLINK("https%3A%2F%2Fwww.webofscience.com%2Fwos%2Fwoscc%2Ffull-record%2FWOS:000087759700023","View Full Record in Web of Science")</f>
        <v>View Full Record in Web of Science</v>
      </c>
    </row>
    <row r="453" spans="1:72" x14ac:dyDescent="0.15">
      <c r="A453" t="s">
        <v>72</v>
      </c>
      <c r="B453" t="s">
        <v>9137</v>
      </c>
      <c r="C453" t="s">
        <v>74</v>
      </c>
      <c r="D453" t="s">
        <v>74</v>
      </c>
      <c r="E453" t="s">
        <v>74</v>
      </c>
      <c r="F453" t="s">
        <v>9138</v>
      </c>
      <c r="G453" t="s">
        <v>74</v>
      </c>
      <c r="H453" t="s">
        <v>74</v>
      </c>
      <c r="I453" t="s">
        <v>9139</v>
      </c>
      <c r="J453" t="s">
        <v>6751</v>
      </c>
      <c r="K453" t="s">
        <v>74</v>
      </c>
      <c r="L453" t="s">
        <v>74</v>
      </c>
      <c r="M453" t="s">
        <v>74</v>
      </c>
      <c r="N453" t="s">
        <v>78</v>
      </c>
      <c r="O453" t="s">
        <v>74</v>
      </c>
      <c r="P453" t="s">
        <v>74</v>
      </c>
      <c r="Q453" t="s">
        <v>74</v>
      </c>
      <c r="R453" t="s">
        <v>74</v>
      </c>
      <c r="S453" t="s">
        <v>74</v>
      </c>
      <c r="T453" t="s">
        <v>9140</v>
      </c>
      <c r="U453" t="s">
        <v>9141</v>
      </c>
      <c r="V453" t="s">
        <v>9142</v>
      </c>
      <c r="W453" t="s">
        <v>9143</v>
      </c>
      <c r="X453" t="s">
        <v>9144</v>
      </c>
      <c r="Y453" t="s">
        <v>9145</v>
      </c>
      <c r="Z453" t="s">
        <v>9146</v>
      </c>
      <c r="AA453" t="s">
        <v>9147</v>
      </c>
      <c r="AB453" t="s">
        <v>9148</v>
      </c>
      <c r="AC453" t="s">
        <v>74</v>
      </c>
      <c r="AD453" t="s">
        <v>74</v>
      </c>
      <c r="AE453" t="s">
        <v>74</v>
      </c>
      <c r="AF453" t="s">
        <v>74</v>
      </c>
      <c r="AG453">
        <v>44</v>
      </c>
      <c r="AH453">
        <v>8</v>
      </c>
      <c r="AI453">
        <v>8</v>
      </c>
      <c r="AJ453">
        <v>3</v>
      </c>
      <c r="AK453">
        <v>6</v>
      </c>
      <c r="AL453" t="s">
        <v>74</v>
      </c>
      <c r="AM453" t="s">
        <v>74</v>
      </c>
      <c r="AN453" t="s">
        <v>74</v>
      </c>
      <c r="AO453" t="s">
        <v>6761</v>
      </c>
      <c r="AP453" t="s">
        <v>6762</v>
      </c>
      <c r="AQ453" t="s">
        <v>74</v>
      </c>
      <c r="AR453" t="s">
        <v>74</v>
      </c>
      <c r="AS453" t="s">
        <v>74</v>
      </c>
      <c r="AT453" t="s">
        <v>1111</v>
      </c>
      <c r="AU453">
        <v>2020</v>
      </c>
      <c r="AV453">
        <v>14</v>
      </c>
      <c r="AW453">
        <v>5</v>
      </c>
      <c r="AX453" t="s">
        <v>74</v>
      </c>
      <c r="AY453" t="s">
        <v>74</v>
      </c>
      <c r="AZ453" t="s">
        <v>74</v>
      </c>
      <c r="BA453" t="s">
        <v>74</v>
      </c>
      <c r="BB453">
        <v>1001</v>
      </c>
      <c r="BC453">
        <v>1015</v>
      </c>
      <c r="BD453" t="s">
        <v>74</v>
      </c>
      <c r="BE453" t="s">
        <v>9149</v>
      </c>
      <c r="BF453" t="str">
        <f>HYPERLINK("http://dx.doi.org/10.1002/1878-0261.12669","http://dx.doi.org/10.1002/1878-0261.12669")</f>
        <v>http://dx.doi.org/10.1002/1878-0261.12669</v>
      </c>
      <c r="BG453" t="s">
        <v>74</v>
      </c>
      <c r="BH453" t="s">
        <v>9150</v>
      </c>
      <c r="BI453" t="s">
        <v>74</v>
      </c>
      <c r="BJ453" t="s">
        <v>146</v>
      </c>
      <c r="BK453" t="s">
        <v>112</v>
      </c>
      <c r="BL453" t="s">
        <v>146</v>
      </c>
      <c r="BM453" t="s">
        <v>74</v>
      </c>
      <c r="BN453">
        <v>32246814</v>
      </c>
      <c r="BO453" t="s">
        <v>74</v>
      </c>
      <c r="BP453" t="s">
        <v>74</v>
      </c>
      <c r="BQ453" t="s">
        <v>74</v>
      </c>
      <c r="BR453" t="s">
        <v>93</v>
      </c>
      <c r="BS453" t="s">
        <v>9151</v>
      </c>
      <c r="BT453" t="str">
        <f>HYPERLINK("https%3A%2F%2Fwww.webofscience.com%2Fwos%2Fwoscc%2Ffull-record%2FWOS:000523630900001","View Full Record in Web of Science")</f>
        <v>View Full Record in Web of Science</v>
      </c>
    </row>
    <row r="454" spans="1:72" x14ac:dyDescent="0.15">
      <c r="A454" t="s">
        <v>72</v>
      </c>
      <c r="B454" t="s">
        <v>9412</v>
      </c>
      <c r="C454" t="s">
        <v>74</v>
      </c>
      <c r="D454" t="s">
        <v>74</v>
      </c>
      <c r="E454" t="s">
        <v>74</v>
      </c>
      <c r="F454" t="s">
        <v>9413</v>
      </c>
      <c r="G454" t="s">
        <v>74</v>
      </c>
      <c r="H454" t="s">
        <v>74</v>
      </c>
      <c r="I454" t="s">
        <v>9414</v>
      </c>
      <c r="J454" t="s">
        <v>7949</v>
      </c>
      <c r="K454" t="s">
        <v>74</v>
      </c>
      <c r="L454" t="s">
        <v>74</v>
      </c>
      <c r="M454" t="s">
        <v>74</v>
      </c>
      <c r="N454" t="s">
        <v>78</v>
      </c>
      <c r="O454" t="s">
        <v>74</v>
      </c>
      <c r="P454" t="s">
        <v>74</v>
      </c>
      <c r="Q454" t="s">
        <v>74</v>
      </c>
      <c r="R454" t="s">
        <v>74</v>
      </c>
      <c r="S454" t="s">
        <v>74</v>
      </c>
      <c r="T454" t="s">
        <v>9415</v>
      </c>
      <c r="U454" t="s">
        <v>9416</v>
      </c>
      <c r="V454" t="s">
        <v>9417</v>
      </c>
      <c r="W454" t="s">
        <v>9418</v>
      </c>
      <c r="X454" t="s">
        <v>9419</v>
      </c>
      <c r="Y454" t="s">
        <v>9420</v>
      </c>
      <c r="Z454" t="s">
        <v>9421</v>
      </c>
      <c r="AA454" t="s">
        <v>9422</v>
      </c>
      <c r="AB454" t="s">
        <v>9423</v>
      </c>
      <c r="AC454" t="s">
        <v>74</v>
      </c>
      <c r="AD454" t="s">
        <v>74</v>
      </c>
      <c r="AE454" t="s">
        <v>74</v>
      </c>
      <c r="AF454" t="s">
        <v>74</v>
      </c>
      <c r="AG454">
        <v>142</v>
      </c>
      <c r="AH454">
        <v>8</v>
      </c>
      <c r="AI454">
        <v>8</v>
      </c>
      <c r="AJ454">
        <v>3</v>
      </c>
      <c r="AK454">
        <v>8</v>
      </c>
      <c r="AL454" t="s">
        <v>74</v>
      </c>
      <c r="AM454" t="s">
        <v>74</v>
      </c>
      <c r="AN454" t="s">
        <v>74</v>
      </c>
      <c r="AO454" t="s">
        <v>7957</v>
      </c>
      <c r="AP454" t="s">
        <v>7958</v>
      </c>
      <c r="AQ454" t="s">
        <v>74</v>
      </c>
      <c r="AR454" t="s">
        <v>74</v>
      </c>
      <c r="AS454" t="s">
        <v>74</v>
      </c>
      <c r="AT454" t="s">
        <v>437</v>
      </c>
      <c r="AU454">
        <v>2021</v>
      </c>
      <c r="AV454">
        <v>26</v>
      </c>
      <c r="AW454">
        <v>10</v>
      </c>
      <c r="AX454" t="s">
        <v>74</v>
      </c>
      <c r="AY454" t="s">
        <v>74</v>
      </c>
      <c r="AZ454" t="s">
        <v>74</v>
      </c>
      <c r="BA454" t="s">
        <v>74</v>
      </c>
      <c r="BB454">
        <v>865</v>
      </c>
      <c r="BC454">
        <v>878</v>
      </c>
      <c r="BD454" t="s">
        <v>74</v>
      </c>
      <c r="BE454" t="s">
        <v>9424</v>
      </c>
      <c r="BF454" t="str">
        <f>HYPERLINK("http://dx.doi.org/10.1002/onco.13858","http://dx.doi.org/10.1002/onco.13858")</f>
        <v>http://dx.doi.org/10.1002/onco.13858</v>
      </c>
      <c r="BG454" t="s">
        <v>74</v>
      </c>
      <c r="BH454" t="s">
        <v>2752</v>
      </c>
      <c r="BI454" t="s">
        <v>74</v>
      </c>
      <c r="BJ454" t="s">
        <v>146</v>
      </c>
      <c r="BK454" t="s">
        <v>112</v>
      </c>
      <c r="BL454" t="s">
        <v>146</v>
      </c>
      <c r="BM454" t="s">
        <v>74</v>
      </c>
      <c r="BN454">
        <v>34105205</v>
      </c>
      <c r="BO454" t="s">
        <v>74</v>
      </c>
      <c r="BP454" t="s">
        <v>74</v>
      </c>
      <c r="BQ454" t="s">
        <v>74</v>
      </c>
      <c r="BR454" t="s">
        <v>93</v>
      </c>
      <c r="BS454" t="s">
        <v>9425</v>
      </c>
      <c r="BT454" t="str">
        <f>HYPERLINK("https%3A%2F%2Fwww.webofscience.com%2Fwos%2Fwoscc%2Ffull-record%2FWOS:000664635900001","View Full Record in Web of Science")</f>
        <v>View Full Record in Web of Science</v>
      </c>
    </row>
    <row r="455" spans="1:72" x14ac:dyDescent="0.15">
      <c r="A455" t="s">
        <v>72</v>
      </c>
      <c r="B455" t="s">
        <v>9595</v>
      </c>
      <c r="C455" t="s">
        <v>74</v>
      </c>
      <c r="D455" t="s">
        <v>74</v>
      </c>
      <c r="E455" t="s">
        <v>74</v>
      </c>
      <c r="F455" t="s">
        <v>9596</v>
      </c>
      <c r="G455" t="s">
        <v>74</v>
      </c>
      <c r="H455" t="s">
        <v>74</v>
      </c>
      <c r="I455" t="s">
        <v>9597</v>
      </c>
      <c r="J455" t="s">
        <v>9598</v>
      </c>
      <c r="K455" t="s">
        <v>74</v>
      </c>
      <c r="L455" t="s">
        <v>74</v>
      </c>
      <c r="M455" t="s">
        <v>74</v>
      </c>
      <c r="N455" t="s">
        <v>78</v>
      </c>
      <c r="O455" t="s">
        <v>74</v>
      </c>
      <c r="P455" t="s">
        <v>74</v>
      </c>
      <c r="Q455" t="s">
        <v>74</v>
      </c>
      <c r="R455" t="s">
        <v>74</v>
      </c>
      <c r="S455" t="s">
        <v>74</v>
      </c>
      <c r="T455" t="s">
        <v>9599</v>
      </c>
      <c r="U455" t="s">
        <v>9600</v>
      </c>
      <c r="V455" t="s">
        <v>9601</v>
      </c>
      <c r="W455" t="s">
        <v>9602</v>
      </c>
      <c r="X455" t="s">
        <v>9603</v>
      </c>
      <c r="Y455" t="s">
        <v>9604</v>
      </c>
      <c r="Z455" t="s">
        <v>9605</v>
      </c>
      <c r="AA455" t="s">
        <v>9606</v>
      </c>
      <c r="AB455" t="s">
        <v>9607</v>
      </c>
      <c r="AC455" t="s">
        <v>74</v>
      </c>
      <c r="AD455" t="s">
        <v>74</v>
      </c>
      <c r="AE455" t="s">
        <v>74</v>
      </c>
      <c r="AF455" t="s">
        <v>74</v>
      </c>
      <c r="AG455">
        <v>59</v>
      </c>
      <c r="AH455">
        <v>8</v>
      </c>
      <c r="AI455">
        <v>8</v>
      </c>
      <c r="AJ455">
        <v>1</v>
      </c>
      <c r="AK455">
        <v>4</v>
      </c>
      <c r="AL455" t="s">
        <v>74</v>
      </c>
      <c r="AM455" t="s">
        <v>74</v>
      </c>
      <c r="AN455" t="s">
        <v>74</v>
      </c>
      <c r="AO455" t="s">
        <v>9608</v>
      </c>
      <c r="AP455" t="s">
        <v>9609</v>
      </c>
      <c r="AQ455" t="s">
        <v>74</v>
      </c>
      <c r="AR455" t="s">
        <v>74</v>
      </c>
      <c r="AS455" t="s">
        <v>74</v>
      </c>
      <c r="AT455" t="s">
        <v>743</v>
      </c>
      <c r="AU455">
        <v>2020</v>
      </c>
      <c r="AV455">
        <v>212</v>
      </c>
      <c r="AW455" t="s">
        <v>74</v>
      </c>
      <c r="AX455" t="s">
        <v>74</v>
      </c>
      <c r="AY455" t="s">
        <v>74</v>
      </c>
      <c r="AZ455" t="s">
        <v>74</v>
      </c>
      <c r="BA455" t="s">
        <v>74</v>
      </c>
      <c r="BB455">
        <v>78</v>
      </c>
      <c r="BC455">
        <v>87</v>
      </c>
      <c r="BD455">
        <v>108349</v>
      </c>
      <c r="BE455" t="s">
        <v>9610</v>
      </c>
      <c r="BF455" t="str">
        <f>HYPERLINK("http://dx.doi.org/10.1016/j.clim.2020.108349","http://dx.doi.org/10.1016/j.clim.2020.108349")</f>
        <v>http://dx.doi.org/10.1016/j.clim.2020.108349</v>
      </c>
      <c r="BG455" t="s">
        <v>74</v>
      </c>
      <c r="BH455" t="s">
        <v>74</v>
      </c>
      <c r="BI455" t="s">
        <v>74</v>
      </c>
      <c r="BJ455" t="s">
        <v>2276</v>
      </c>
      <c r="BK455" t="s">
        <v>112</v>
      </c>
      <c r="BL455" t="s">
        <v>2276</v>
      </c>
      <c r="BM455" t="s">
        <v>74</v>
      </c>
      <c r="BN455">
        <v>31982644</v>
      </c>
      <c r="BO455" t="s">
        <v>74</v>
      </c>
      <c r="BP455" t="s">
        <v>74</v>
      </c>
      <c r="BQ455" t="s">
        <v>74</v>
      </c>
      <c r="BR455" t="s">
        <v>93</v>
      </c>
      <c r="BS455" t="s">
        <v>9611</v>
      </c>
      <c r="BT455" t="str">
        <f>HYPERLINK("https%3A%2F%2Fwww.webofscience.com%2Fwos%2Fwoscc%2Ffull-record%2FWOS:000520947700010","View Full Record in Web of Science")</f>
        <v>View Full Record in Web of Science</v>
      </c>
    </row>
    <row r="456" spans="1:72" x14ac:dyDescent="0.15">
      <c r="A456" t="s">
        <v>72</v>
      </c>
      <c r="B456" t="s">
        <v>9663</v>
      </c>
      <c r="C456" t="s">
        <v>74</v>
      </c>
      <c r="D456" t="s">
        <v>74</v>
      </c>
      <c r="E456" t="s">
        <v>74</v>
      </c>
      <c r="F456" t="s">
        <v>9664</v>
      </c>
      <c r="G456" t="s">
        <v>74</v>
      </c>
      <c r="H456" t="s">
        <v>74</v>
      </c>
      <c r="I456" t="s">
        <v>9665</v>
      </c>
      <c r="J456" t="s">
        <v>9666</v>
      </c>
      <c r="K456" t="s">
        <v>74</v>
      </c>
      <c r="L456" t="s">
        <v>74</v>
      </c>
      <c r="M456" t="s">
        <v>74</v>
      </c>
      <c r="N456" t="s">
        <v>78</v>
      </c>
      <c r="O456" t="s">
        <v>74</v>
      </c>
      <c r="P456" t="s">
        <v>74</v>
      </c>
      <c r="Q456" t="s">
        <v>74</v>
      </c>
      <c r="R456" t="s">
        <v>74</v>
      </c>
      <c r="S456" t="s">
        <v>74</v>
      </c>
      <c r="T456" t="s">
        <v>9667</v>
      </c>
      <c r="U456" t="s">
        <v>9668</v>
      </c>
      <c r="V456" t="s">
        <v>9669</v>
      </c>
      <c r="W456" t="s">
        <v>9670</v>
      </c>
      <c r="X456" t="s">
        <v>9671</v>
      </c>
      <c r="Y456" t="s">
        <v>6460</v>
      </c>
      <c r="Z456" t="s">
        <v>9672</v>
      </c>
      <c r="AA456" t="s">
        <v>9673</v>
      </c>
      <c r="AB456" t="s">
        <v>9674</v>
      </c>
      <c r="AC456" t="s">
        <v>74</v>
      </c>
      <c r="AD456" t="s">
        <v>74</v>
      </c>
      <c r="AE456" t="s">
        <v>74</v>
      </c>
      <c r="AF456" t="s">
        <v>74</v>
      </c>
      <c r="AG456">
        <v>60</v>
      </c>
      <c r="AH456">
        <v>8</v>
      </c>
      <c r="AI456">
        <v>8</v>
      </c>
      <c r="AJ456">
        <v>5</v>
      </c>
      <c r="AK456">
        <v>7</v>
      </c>
      <c r="AL456" t="s">
        <v>74</v>
      </c>
      <c r="AM456" t="s">
        <v>74</v>
      </c>
      <c r="AN456" t="s">
        <v>74</v>
      </c>
      <c r="AO456" t="s">
        <v>9675</v>
      </c>
      <c r="AP456" t="s">
        <v>74</v>
      </c>
      <c r="AQ456" t="s">
        <v>74</v>
      </c>
      <c r="AR456" t="s">
        <v>74</v>
      </c>
      <c r="AS456" t="s">
        <v>74</v>
      </c>
      <c r="AT456" t="s">
        <v>9676</v>
      </c>
      <c r="AU456">
        <v>2021</v>
      </c>
      <c r="AV456">
        <v>13</v>
      </c>
      <c r="AW456">
        <v>1</v>
      </c>
      <c r="AX456" t="s">
        <v>74</v>
      </c>
      <c r="AY456" t="s">
        <v>74</v>
      </c>
      <c r="AZ456" t="s">
        <v>74</v>
      </c>
      <c r="BA456" t="s">
        <v>74</v>
      </c>
      <c r="BB456" t="s">
        <v>74</v>
      </c>
      <c r="BC456" t="s">
        <v>74</v>
      </c>
      <c r="BD456">
        <v>85</v>
      </c>
      <c r="BE456" t="s">
        <v>9677</v>
      </c>
      <c r="BF456" t="str">
        <f>HYPERLINK("http://dx.doi.org/10.1186/s13073-021-00902-1","http://dx.doi.org/10.1186/s13073-021-00902-1")</f>
        <v>http://dx.doi.org/10.1186/s13073-021-00902-1</v>
      </c>
      <c r="BG456" t="s">
        <v>74</v>
      </c>
      <c r="BH456" t="s">
        <v>74</v>
      </c>
      <c r="BI456" t="s">
        <v>74</v>
      </c>
      <c r="BJ456" t="s">
        <v>349</v>
      </c>
      <c r="BK456" t="s">
        <v>112</v>
      </c>
      <c r="BL456" t="s">
        <v>349</v>
      </c>
      <c r="BM456" t="s">
        <v>74</v>
      </c>
      <c r="BN456">
        <v>34001236</v>
      </c>
      <c r="BO456" t="s">
        <v>74</v>
      </c>
      <c r="BP456" t="s">
        <v>74</v>
      </c>
      <c r="BQ456" t="s">
        <v>74</v>
      </c>
      <c r="BR456" t="s">
        <v>93</v>
      </c>
      <c r="BS456" t="s">
        <v>9678</v>
      </c>
      <c r="BT456" t="str">
        <f>HYPERLINK("https%3A%2F%2Fwww.webofscience.com%2Fwos%2Fwoscc%2Ffull-record%2FWOS:000656206500003","View Full Record in Web of Science")</f>
        <v>View Full Record in Web of Science</v>
      </c>
    </row>
    <row r="457" spans="1:72" x14ac:dyDescent="0.15">
      <c r="A457" t="s">
        <v>72</v>
      </c>
      <c r="B457" t="s">
        <v>9798</v>
      </c>
      <c r="C457" t="s">
        <v>74</v>
      </c>
      <c r="D457" t="s">
        <v>74</v>
      </c>
      <c r="E457" t="s">
        <v>74</v>
      </c>
      <c r="F457" t="s">
        <v>9799</v>
      </c>
      <c r="G457" t="s">
        <v>74</v>
      </c>
      <c r="H457" t="s">
        <v>74</v>
      </c>
      <c r="I457" t="s">
        <v>9800</v>
      </c>
      <c r="J457" t="s">
        <v>9801</v>
      </c>
      <c r="K457" t="s">
        <v>74</v>
      </c>
      <c r="L457" t="s">
        <v>74</v>
      </c>
      <c r="M457" t="s">
        <v>74</v>
      </c>
      <c r="N457" t="s">
        <v>78</v>
      </c>
      <c r="O457" t="s">
        <v>74</v>
      </c>
      <c r="P457" t="s">
        <v>74</v>
      </c>
      <c r="Q457" t="s">
        <v>74</v>
      </c>
      <c r="R457" t="s">
        <v>74</v>
      </c>
      <c r="S457" t="s">
        <v>74</v>
      </c>
      <c r="T457" t="s">
        <v>9802</v>
      </c>
      <c r="U457" t="s">
        <v>9803</v>
      </c>
      <c r="V457" t="s">
        <v>9804</v>
      </c>
      <c r="W457" t="s">
        <v>9805</v>
      </c>
      <c r="X457" t="s">
        <v>9806</v>
      </c>
      <c r="Y457" t="s">
        <v>9807</v>
      </c>
      <c r="Z457" t="s">
        <v>9808</v>
      </c>
      <c r="AA457" t="s">
        <v>9809</v>
      </c>
      <c r="AB457" t="s">
        <v>9810</v>
      </c>
      <c r="AC457" t="s">
        <v>74</v>
      </c>
      <c r="AD457" t="s">
        <v>74</v>
      </c>
      <c r="AE457" t="s">
        <v>74</v>
      </c>
      <c r="AF457" t="s">
        <v>74</v>
      </c>
      <c r="AG457">
        <v>44</v>
      </c>
      <c r="AH457">
        <v>8</v>
      </c>
      <c r="AI457">
        <v>8</v>
      </c>
      <c r="AJ457">
        <v>1</v>
      </c>
      <c r="AK457">
        <v>6</v>
      </c>
      <c r="AL457" t="s">
        <v>74</v>
      </c>
      <c r="AM457" t="s">
        <v>74</v>
      </c>
      <c r="AN457" t="s">
        <v>74</v>
      </c>
      <c r="AO457" t="s">
        <v>74</v>
      </c>
      <c r="AP457" t="s">
        <v>9811</v>
      </c>
      <c r="AQ457" t="s">
        <v>74</v>
      </c>
      <c r="AR457" t="s">
        <v>74</v>
      </c>
      <c r="AS457" t="s">
        <v>74</v>
      </c>
      <c r="AT457" t="s">
        <v>3728</v>
      </c>
      <c r="AU457">
        <v>2020</v>
      </c>
      <c r="AV457">
        <v>22</v>
      </c>
      <c r="AW457">
        <v>1</v>
      </c>
      <c r="AX457" t="s">
        <v>74</v>
      </c>
      <c r="AY457" t="s">
        <v>74</v>
      </c>
      <c r="AZ457" t="s">
        <v>74</v>
      </c>
      <c r="BA457" t="s">
        <v>74</v>
      </c>
      <c r="BB457" t="s">
        <v>74</v>
      </c>
      <c r="BC457" t="s">
        <v>74</v>
      </c>
      <c r="BD457">
        <v>17</v>
      </c>
      <c r="BE457" t="s">
        <v>9812</v>
      </c>
      <c r="BF457" t="str">
        <f>HYPERLINK("http://dx.doi.org/10.1186/s12575-020-00130-8","http://dx.doi.org/10.1186/s12575-020-00130-8")</f>
        <v>http://dx.doi.org/10.1186/s12575-020-00130-8</v>
      </c>
      <c r="BG457" t="s">
        <v>74</v>
      </c>
      <c r="BH457" t="s">
        <v>74</v>
      </c>
      <c r="BI457" t="s">
        <v>74</v>
      </c>
      <c r="BJ457" t="s">
        <v>90</v>
      </c>
      <c r="BK457" t="s">
        <v>112</v>
      </c>
      <c r="BL457" t="s">
        <v>92</v>
      </c>
      <c r="BM457" t="s">
        <v>74</v>
      </c>
      <c r="BN457">
        <v>32765191</v>
      </c>
      <c r="BO457" t="s">
        <v>74</v>
      </c>
      <c r="BP457" t="s">
        <v>74</v>
      </c>
      <c r="BQ457" t="s">
        <v>74</v>
      </c>
      <c r="BR457" t="s">
        <v>93</v>
      </c>
      <c r="BS457" t="s">
        <v>9813</v>
      </c>
      <c r="BT457" t="str">
        <f>HYPERLINK("https%3A%2F%2Fwww.webofscience.com%2Fwos%2Fwoscc%2Ffull-record%2FWOS:000560013800001","View Full Record in Web of Science")</f>
        <v>View Full Record in Web of Science</v>
      </c>
    </row>
    <row r="458" spans="1:72" x14ac:dyDescent="0.15">
      <c r="A458" t="s">
        <v>72</v>
      </c>
      <c r="B458" t="s">
        <v>10441</v>
      </c>
      <c r="C458" t="s">
        <v>74</v>
      </c>
      <c r="D458" t="s">
        <v>74</v>
      </c>
      <c r="E458" t="s">
        <v>74</v>
      </c>
      <c r="F458" t="s">
        <v>10441</v>
      </c>
      <c r="G458" t="s">
        <v>74</v>
      </c>
      <c r="H458" t="s">
        <v>74</v>
      </c>
      <c r="I458" t="s">
        <v>10442</v>
      </c>
      <c r="J458" t="s">
        <v>10443</v>
      </c>
      <c r="K458" t="s">
        <v>74</v>
      </c>
      <c r="L458" t="s">
        <v>74</v>
      </c>
      <c r="M458" t="s">
        <v>74</v>
      </c>
      <c r="N458" t="s">
        <v>78</v>
      </c>
      <c r="O458" t="s">
        <v>74</v>
      </c>
      <c r="P458" t="s">
        <v>74</v>
      </c>
      <c r="Q458" t="s">
        <v>74</v>
      </c>
      <c r="R458" t="s">
        <v>74</v>
      </c>
      <c r="S458" t="s">
        <v>74</v>
      </c>
      <c r="T458" t="s">
        <v>74</v>
      </c>
      <c r="U458" t="s">
        <v>10444</v>
      </c>
      <c r="V458" t="s">
        <v>10445</v>
      </c>
      <c r="W458" t="s">
        <v>10446</v>
      </c>
      <c r="X458" t="s">
        <v>10447</v>
      </c>
      <c r="Y458" t="s">
        <v>74</v>
      </c>
      <c r="Z458" t="s">
        <v>74</v>
      </c>
      <c r="AA458" t="s">
        <v>74</v>
      </c>
      <c r="AB458" t="s">
        <v>74</v>
      </c>
      <c r="AC458" t="s">
        <v>74</v>
      </c>
      <c r="AD458" t="s">
        <v>74</v>
      </c>
      <c r="AE458" t="s">
        <v>74</v>
      </c>
      <c r="AF458" t="s">
        <v>74</v>
      </c>
      <c r="AG458">
        <v>41</v>
      </c>
      <c r="AH458">
        <v>8</v>
      </c>
      <c r="AI458">
        <v>8</v>
      </c>
      <c r="AJ458">
        <v>0</v>
      </c>
      <c r="AK458">
        <v>0</v>
      </c>
      <c r="AL458" t="s">
        <v>74</v>
      </c>
      <c r="AM458" t="s">
        <v>74</v>
      </c>
      <c r="AN458" t="s">
        <v>74</v>
      </c>
      <c r="AO458" t="s">
        <v>10448</v>
      </c>
      <c r="AP458" t="s">
        <v>74</v>
      </c>
      <c r="AQ458" t="s">
        <v>74</v>
      </c>
      <c r="AR458" t="s">
        <v>74</v>
      </c>
      <c r="AS458" t="s">
        <v>74</v>
      </c>
      <c r="AT458" t="s">
        <v>1111</v>
      </c>
      <c r="AU458">
        <v>1992</v>
      </c>
      <c r="AV458">
        <v>130</v>
      </c>
      <c r="AW458">
        <v>5</v>
      </c>
      <c r="AX458" t="s">
        <v>74</v>
      </c>
      <c r="AY458" t="s">
        <v>74</v>
      </c>
      <c r="AZ458" t="s">
        <v>74</v>
      </c>
      <c r="BA458" t="s">
        <v>74</v>
      </c>
      <c r="BB458">
        <v>2767</v>
      </c>
      <c r="BC458">
        <v>2777</v>
      </c>
      <c r="BD458" t="s">
        <v>74</v>
      </c>
      <c r="BE458" t="s">
        <v>10449</v>
      </c>
      <c r="BF458" t="str">
        <f>HYPERLINK("http://dx.doi.org/10.1210/en.130.5.2767","http://dx.doi.org/10.1210/en.130.5.2767")</f>
        <v>http://dx.doi.org/10.1210/en.130.5.2767</v>
      </c>
      <c r="BG458" t="s">
        <v>74</v>
      </c>
      <c r="BH458" t="s">
        <v>74</v>
      </c>
      <c r="BI458" t="s">
        <v>74</v>
      </c>
      <c r="BJ458" t="s">
        <v>1810</v>
      </c>
      <c r="BK458" t="s">
        <v>112</v>
      </c>
      <c r="BL458" t="s">
        <v>1810</v>
      </c>
      <c r="BM458" t="s">
        <v>74</v>
      </c>
      <c r="BN458">
        <v>1315257</v>
      </c>
      <c r="BO458" t="s">
        <v>74</v>
      </c>
      <c r="BP458" t="s">
        <v>74</v>
      </c>
      <c r="BQ458" t="s">
        <v>74</v>
      </c>
      <c r="BR458" t="s">
        <v>93</v>
      </c>
      <c r="BS458" t="s">
        <v>10450</v>
      </c>
      <c r="BT458" t="str">
        <f>HYPERLINK("https%3A%2F%2Fwww.webofscience.com%2Fwos%2Fwoscc%2Ffull-record%2FWOS:A1992HR33900045","View Full Record in Web of Science")</f>
        <v>View Full Record in Web of Science</v>
      </c>
    </row>
    <row r="459" spans="1:72" x14ac:dyDescent="0.15">
      <c r="A459" t="s">
        <v>72</v>
      </c>
      <c r="B459" t="s">
        <v>1216</v>
      </c>
      <c r="C459" t="s">
        <v>74</v>
      </c>
      <c r="D459" t="s">
        <v>74</v>
      </c>
      <c r="E459" t="s">
        <v>74</v>
      </c>
      <c r="F459" t="s">
        <v>1217</v>
      </c>
      <c r="G459" t="s">
        <v>74</v>
      </c>
      <c r="H459" t="s">
        <v>74</v>
      </c>
      <c r="I459" t="s">
        <v>1218</v>
      </c>
      <c r="J459" t="s">
        <v>667</v>
      </c>
      <c r="K459" t="s">
        <v>74</v>
      </c>
      <c r="L459" t="s">
        <v>74</v>
      </c>
      <c r="M459" t="s">
        <v>74</v>
      </c>
      <c r="N459" t="s">
        <v>78</v>
      </c>
      <c r="O459" t="s">
        <v>74</v>
      </c>
      <c r="P459" t="s">
        <v>74</v>
      </c>
      <c r="Q459" t="s">
        <v>74</v>
      </c>
      <c r="R459" t="s">
        <v>74</v>
      </c>
      <c r="S459" t="s">
        <v>74</v>
      </c>
      <c r="T459" t="s">
        <v>1219</v>
      </c>
      <c r="U459" t="s">
        <v>74</v>
      </c>
      <c r="V459" t="s">
        <v>1220</v>
      </c>
      <c r="W459" t="s">
        <v>1221</v>
      </c>
      <c r="X459" t="s">
        <v>1222</v>
      </c>
      <c r="Y459" t="s">
        <v>1223</v>
      </c>
      <c r="Z459" t="s">
        <v>1224</v>
      </c>
      <c r="AA459" t="s">
        <v>1225</v>
      </c>
      <c r="AB459" t="s">
        <v>1226</v>
      </c>
      <c r="AC459" t="s">
        <v>74</v>
      </c>
      <c r="AD459" t="s">
        <v>74</v>
      </c>
      <c r="AE459" t="s">
        <v>74</v>
      </c>
      <c r="AF459" t="s">
        <v>74</v>
      </c>
      <c r="AG459">
        <v>43</v>
      </c>
      <c r="AH459">
        <v>7</v>
      </c>
      <c r="AI459">
        <v>8</v>
      </c>
      <c r="AJ459">
        <v>2</v>
      </c>
      <c r="AK459">
        <v>3</v>
      </c>
      <c r="AL459" t="s">
        <v>74</v>
      </c>
      <c r="AM459" t="s">
        <v>74</v>
      </c>
      <c r="AN459" t="s">
        <v>74</v>
      </c>
      <c r="AO459" t="s">
        <v>74</v>
      </c>
      <c r="AP459" t="s">
        <v>677</v>
      </c>
      <c r="AQ459" t="s">
        <v>74</v>
      </c>
      <c r="AR459" t="s">
        <v>74</v>
      </c>
      <c r="AS459" t="s">
        <v>74</v>
      </c>
      <c r="AT459" t="s">
        <v>129</v>
      </c>
      <c r="AU459">
        <v>2021</v>
      </c>
      <c r="AV459">
        <v>22</v>
      </c>
      <c r="AW459">
        <v>7</v>
      </c>
      <c r="AX459" t="s">
        <v>74</v>
      </c>
      <c r="AY459" t="s">
        <v>74</v>
      </c>
      <c r="AZ459" t="s">
        <v>74</v>
      </c>
      <c r="BA459" t="s">
        <v>74</v>
      </c>
      <c r="BB459" t="s">
        <v>74</v>
      </c>
      <c r="BC459" t="s">
        <v>74</v>
      </c>
      <c r="BD459">
        <v>3667</v>
      </c>
      <c r="BE459" t="s">
        <v>1227</v>
      </c>
      <c r="BF459" t="str">
        <f>HYPERLINK("http://dx.doi.org/10.3390/ijms22073667","http://dx.doi.org/10.3390/ijms22073667")</f>
        <v>http://dx.doi.org/10.3390/ijms22073667</v>
      </c>
      <c r="BG459" t="s">
        <v>74</v>
      </c>
      <c r="BH459" t="s">
        <v>74</v>
      </c>
      <c r="BI459" t="s">
        <v>74</v>
      </c>
      <c r="BJ459" t="s">
        <v>680</v>
      </c>
      <c r="BK459" t="s">
        <v>112</v>
      </c>
      <c r="BL459" t="s">
        <v>681</v>
      </c>
      <c r="BM459" t="s">
        <v>74</v>
      </c>
      <c r="BN459">
        <v>33915956</v>
      </c>
      <c r="BO459" t="s">
        <v>74</v>
      </c>
      <c r="BP459" t="s">
        <v>74</v>
      </c>
      <c r="BQ459" t="s">
        <v>74</v>
      </c>
      <c r="BR459" t="s">
        <v>93</v>
      </c>
      <c r="BS459" t="s">
        <v>1228</v>
      </c>
      <c r="BT459" t="str">
        <f>HYPERLINK("https%3A%2F%2Fwww.webofscience.com%2Fwos%2Fwoscc%2Ffull-record%2FWOS:000638661700001","View Full Record in Web of Science")</f>
        <v>View Full Record in Web of Science</v>
      </c>
    </row>
    <row r="460" spans="1:72" x14ac:dyDescent="0.15">
      <c r="A460" t="s">
        <v>72</v>
      </c>
      <c r="B460" t="s">
        <v>1343</v>
      </c>
      <c r="C460" t="s">
        <v>74</v>
      </c>
      <c r="D460" t="s">
        <v>74</v>
      </c>
      <c r="E460" t="s">
        <v>74</v>
      </c>
      <c r="F460" t="s">
        <v>1344</v>
      </c>
      <c r="G460" t="s">
        <v>74</v>
      </c>
      <c r="H460" t="s">
        <v>74</v>
      </c>
      <c r="I460" t="s">
        <v>1345</v>
      </c>
      <c r="J460" t="s">
        <v>1346</v>
      </c>
      <c r="K460" t="s">
        <v>74</v>
      </c>
      <c r="L460" t="s">
        <v>74</v>
      </c>
      <c r="M460" t="s">
        <v>74</v>
      </c>
      <c r="N460" t="s">
        <v>78</v>
      </c>
      <c r="O460" t="s">
        <v>74</v>
      </c>
      <c r="P460" t="s">
        <v>74</v>
      </c>
      <c r="Q460" t="s">
        <v>74</v>
      </c>
      <c r="R460" t="s">
        <v>74</v>
      </c>
      <c r="S460" t="s">
        <v>74</v>
      </c>
      <c r="T460" t="s">
        <v>1347</v>
      </c>
      <c r="U460" t="s">
        <v>1348</v>
      </c>
      <c r="V460" t="s">
        <v>1349</v>
      </c>
      <c r="W460" t="s">
        <v>1350</v>
      </c>
      <c r="X460" t="s">
        <v>1351</v>
      </c>
      <c r="Y460" t="s">
        <v>1352</v>
      </c>
      <c r="Z460" t="s">
        <v>1353</v>
      </c>
      <c r="AA460" t="s">
        <v>1354</v>
      </c>
      <c r="AB460" t="s">
        <v>1355</v>
      </c>
      <c r="AC460" t="s">
        <v>74</v>
      </c>
      <c r="AD460" t="s">
        <v>74</v>
      </c>
      <c r="AE460" t="s">
        <v>74</v>
      </c>
      <c r="AF460" t="s">
        <v>74</v>
      </c>
      <c r="AG460">
        <v>32</v>
      </c>
      <c r="AH460">
        <v>7</v>
      </c>
      <c r="AI460">
        <v>7</v>
      </c>
      <c r="AJ460">
        <v>3</v>
      </c>
      <c r="AK460">
        <v>7</v>
      </c>
      <c r="AL460" t="s">
        <v>74</v>
      </c>
      <c r="AM460" t="s">
        <v>74</v>
      </c>
      <c r="AN460" t="s">
        <v>74</v>
      </c>
      <c r="AO460" t="s">
        <v>1356</v>
      </c>
      <c r="AP460" t="s">
        <v>1357</v>
      </c>
      <c r="AQ460" t="s">
        <v>74</v>
      </c>
      <c r="AR460" t="s">
        <v>74</v>
      </c>
      <c r="AS460" t="s">
        <v>74</v>
      </c>
      <c r="AT460" t="s">
        <v>818</v>
      </c>
      <c r="AU460">
        <v>2020</v>
      </c>
      <c r="AV460">
        <v>69</v>
      </c>
      <c r="AW460">
        <v>2</v>
      </c>
      <c r="AX460" t="s">
        <v>74</v>
      </c>
      <c r="AY460" t="s">
        <v>74</v>
      </c>
      <c r="AZ460" t="s">
        <v>74</v>
      </c>
      <c r="BA460" t="s">
        <v>74</v>
      </c>
      <c r="BB460">
        <v>99</v>
      </c>
      <c r="BC460">
        <v>107</v>
      </c>
      <c r="BD460" t="s">
        <v>74</v>
      </c>
      <c r="BE460" t="s">
        <v>1358</v>
      </c>
      <c r="BF460" t="str">
        <f>HYPERLINK("http://dx.doi.org/10.2144/btn-2020-0028","http://dx.doi.org/10.2144/btn-2020-0028")</f>
        <v>http://dx.doi.org/10.2144/btn-2020-0028</v>
      </c>
      <c r="BG460" t="s">
        <v>74</v>
      </c>
      <c r="BH460" t="s">
        <v>74</v>
      </c>
      <c r="BI460" t="s">
        <v>74</v>
      </c>
      <c r="BJ460" t="s">
        <v>469</v>
      </c>
      <c r="BK460" t="s">
        <v>112</v>
      </c>
      <c r="BL460" t="s">
        <v>92</v>
      </c>
      <c r="BM460" t="s">
        <v>74</v>
      </c>
      <c r="BN460">
        <v>32580578</v>
      </c>
      <c r="BO460" t="s">
        <v>74</v>
      </c>
      <c r="BP460" t="s">
        <v>74</v>
      </c>
      <c r="BQ460" t="s">
        <v>74</v>
      </c>
      <c r="BR460" t="s">
        <v>93</v>
      </c>
      <c r="BS460" t="s">
        <v>1359</v>
      </c>
      <c r="BT460" t="str">
        <f>HYPERLINK("https%3A%2F%2Fwww.webofscience.com%2Fwos%2Fwoscc%2Ffull-record%2FWOS:000588651700005","View Full Record in Web of Science")</f>
        <v>View Full Record in Web of Science</v>
      </c>
    </row>
    <row r="461" spans="1:72" x14ac:dyDescent="0.15">
      <c r="A461" t="s">
        <v>72</v>
      </c>
      <c r="B461" t="s">
        <v>3143</v>
      </c>
      <c r="C461" t="s">
        <v>74</v>
      </c>
      <c r="D461" t="s">
        <v>74</v>
      </c>
      <c r="E461" t="s">
        <v>74</v>
      </c>
      <c r="F461" t="s">
        <v>3144</v>
      </c>
      <c r="G461" t="s">
        <v>74</v>
      </c>
      <c r="H461" t="s">
        <v>74</v>
      </c>
      <c r="I461" t="s">
        <v>3145</v>
      </c>
      <c r="J461" t="s">
        <v>135</v>
      </c>
      <c r="K461" t="s">
        <v>74</v>
      </c>
      <c r="L461" t="s">
        <v>74</v>
      </c>
      <c r="M461" t="s">
        <v>74</v>
      </c>
      <c r="N461" t="s">
        <v>78</v>
      </c>
      <c r="O461" t="s">
        <v>74</v>
      </c>
      <c r="P461" t="s">
        <v>74</v>
      </c>
      <c r="Q461" t="s">
        <v>74</v>
      </c>
      <c r="R461" t="s">
        <v>74</v>
      </c>
      <c r="S461" t="s">
        <v>74</v>
      </c>
      <c r="T461" t="s">
        <v>3146</v>
      </c>
      <c r="U461" t="s">
        <v>3147</v>
      </c>
      <c r="V461" t="s">
        <v>3148</v>
      </c>
      <c r="W461" t="s">
        <v>3149</v>
      </c>
      <c r="X461" t="s">
        <v>3150</v>
      </c>
      <c r="Y461" t="s">
        <v>3151</v>
      </c>
      <c r="Z461" t="s">
        <v>3152</v>
      </c>
      <c r="AA461" t="s">
        <v>3153</v>
      </c>
      <c r="AB461" t="s">
        <v>3154</v>
      </c>
      <c r="AC461" t="s">
        <v>74</v>
      </c>
      <c r="AD461" t="s">
        <v>74</v>
      </c>
      <c r="AE461" t="s">
        <v>74</v>
      </c>
      <c r="AF461" t="s">
        <v>74</v>
      </c>
      <c r="AG461">
        <v>62</v>
      </c>
      <c r="AH461">
        <v>7</v>
      </c>
      <c r="AI461">
        <v>7</v>
      </c>
      <c r="AJ461">
        <v>1</v>
      </c>
      <c r="AK461">
        <v>5</v>
      </c>
      <c r="AL461" t="s">
        <v>74</v>
      </c>
      <c r="AM461" t="s">
        <v>74</v>
      </c>
      <c r="AN461" t="s">
        <v>74</v>
      </c>
      <c r="AO461" t="s">
        <v>74</v>
      </c>
      <c r="AP461" t="s">
        <v>143</v>
      </c>
      <c r="AQ461" t="s">
        <v>74</v>
      </c>
      <c r="AR461" t="s">
        <v>74</v>
      </c>
      <c r="AS461" t="s">
        <v>74</v>
      </c>
      <c r="AT461" t="s">
        <v>610</v>
      </c>
      <c r="AU461">
        <v>2021</v>
      </c>
      <c r="AV461">
        <v>21</v>
      </c>
      <c r="AW461">
        <v>1</v>
      </c>
      <c r="AX461" t="s">
        <v>74</v>
      </c>
      <c r="AY461" t="s">
        <v>74</v>
      </c>
      <c r="AZ461" t="s">
        <v>74</v>
      </c>
      <c r="BA461" t="s">
        <v>74</v>
      </c>
      <c r="BB461" t="s">
        <v>74</v>
      </c>
      <c r="BC461" t="s">
        <v>74</v>
      </c>
      <c r="BD461">
        <v>315</v>
      </c>
      <c r="BE461" t="s">
        <v>3155</v>
      </c>
      <c r="BF461" t="str">
        <f>HYPERLINK("http://dx.doi.org/10.1186/s12885-021-08007-z","http://dx.doi.org/10.1186/s12885-021-08007-z")</f>
        <v>http://dx.doi.org/10.1186/s12885-021-08007-z</v>
      </c>
      <c r="BG461" t="s">
        <v>74</v>
      </c>
      <c r="BH461" t="s">
        <v>74</v>
      </c>
      <c r="BI461" t="s">
        <v>74</v>
      </c>
      <c r="BJ461" t="s">
        <v>146</v>
      </c>
      <c r="BK461" t="s">
        <v>112</v>
      </c>
      <c r="BL461" t="s">
        <v>146</v>
      </c>
      <c r="BM461" t="s">
        <v>74</v>
      </c>
      <c r="BN461">
        <v>33761899</v>
      </c>
      <c r="BO461" t="s">
        <v>74</v>
      </c>
      <c r="BP461" t="s">
        <v>74</v>
      </c>
      <c r="BQ461" t="s">
        <v>74</v>
      </c>
      <c r="BR461" t="s">
        <v>93</v>
      </c>
      <c r="BS461" t="s">
        <v>3156</v>
      </c>
      <c r="BT461" t="str">
        <f>HYPERLINK("https%3A%2F%2Fwww.webofscience.com%2Fwos%2Fwoscc%2Ffull-record%2FWOS:000634948800009","View Full Record in Web of Science")</f>
        <v>View Full Record in Web of Science</v>
      </c>
    </row>
    <row r="462" spans="1:72" x14ac:dyDescent="0.15">
      <c r="A462" t="s">
        <v>72</v>
      </c>
      <c r="B462" t="s">
        <v>3615</v>
      </c>
      <c r="C462" t="s">
        <v>74</v>
      </c>
      <c r="D462" t="s">
        <v>74</v>
      </c>
      <c r="E462" t="s">
        <v>74</v>
      </c>
      <c r="F462" t="s">
        <v>3616</v>
      </c>
      <c r="G462" t="s">
        <v>74</v>
      </c>
      <c r="H462" t="s">
        <v>74</v>
      </c>
      <c r="I462" t="s">
        <v>3617</v>
      </c>
      <c r="J462" t="s">
        <v>1828</v>
      </c>
      <c r="K462" t="s">
        <v>74</v>
      </c>
      <c r="L462" t="s">
        <v>74</v>
      </c>
      <c r="M462" t="s">
        <v>74</v>
      </c>
      <c r="N462" t="s">
        <v>78</v>
      </c>
      <c r="O462" t="s">
        <v>74</v>
      </c>
      <c r="P462" t="s">
        <v>74</v>
      </c>
      <c r="Q462" t="s">
        <v>74</v>
      </c>
      <c r="R462" t="s">
        <v>74</v>
      </c>
      <c r="S462" t="s">
        <v>74</v>
      </c>
      <c r="T462" t="s">
        <v>74</v>
      </c>
      <c r="U462" t="s">
        <v>74</v>
      </c>
      <c r="V462" t="s">
        <v>3618</v>
      </c>
      <c r="W462" t="s">
        <v>3619</v>
      </c>
      <c r="X462" t="s">
        <v>3620</v>
      </c>
      <c r="Y462" t="s">
        <v>3621</v>
      </c>
      <c r="Z462" t="s">
        <v>3622</v>
      </c>
      <c r="AA462" t="s">
        <v>3623</v>
      </c>
      <c r="AB462" t="s">
        <v>3624</v>
      </c>
      <c r="AC462" t="s">
        <v>74</v>
      </c>
      <c r="AD462" t="s">
        <v>74</v>
      </c>
      <c r="AE462" t="s">
        <v>74</v>
      </c>
      <c r="AF462" t="s">
        <v>74</v>
      </c>
      <c r="AG462">
        <v>62</v>
      </c>
      <c r="AH462">
        <v>7</v>
      </c>
      <c r="AI462">
        <v>7</v>
      </c>
      <c r="AJ462">
        <v>1</v>
      </c>
      <c r="AK462">
        <v>5</v>
      </c>
      <c r="AL462" t="s">
        <v>74</v>
      </c>
      <c r="AM462" t="s">
        <v>74</v>
      </c>
      <c r="AN462" t="s">
        <v>74</v>
      </c>
      <c r="AO462" t="s">
        <v>1837</v>
      </c>
      <c r="AP462" t="s">
        <v>74</v>
      </c>
      <c r="AQ462" t="s">
        <v>74</v>
      </c>
      <c r="AR462" t="s">
        <v>74</v>
      </c>
      <c r="AS462" t="s">
        <v>74</v>
      </c>
      <c r="AT462" t="s">
        <v>3625</v>
      </c>
      <c r="AU462">
        <v>2021</v>
      </c>
      <c r="AV462">
        <v>11</v>
      </c>
      <c r="AW462">
        <v>1</v>
      </c>
      <c r="AX462" t="s">
        <v>74</v>
      </c>
      <c r="AY462" t="s">
        <v>74</v>
      </c>
      <c r="AZ462" t="s">
        <v>74</v>
      </c>
      <c r="BA462" t="s">
        <v>74</v>
      </c>
      <c r="BB462" t="s">
        <v>74</v>
      </c>
      <c r="BC462" t="s">
        <v>74</v>
      </c>
      <c r="BD462">
        <v>94</v>
      </c>
      <c r="BE462" t="s">
        <v>3626</v>
      </c>
      <c r="BF462" t="str">
        <f>HYPERLINK("http://dx.doi.org/10.1038/s41598-020-77398-z","http://dx.doi.org/10.1038/s41598-020-77398-z")</f>
        <v>http://dx.doi.org/10.1038/s41598-020-77398-z</v>
      </c>
      <c r="BG462" t="s">
        <v>74</v>
      </c>
      <c r="BH462" t="s">
        <v>74</v>
      </c>
      <c r="BI462" t="s">
        <v>74</v>
      </c>
      <c r="BJ462" t="s">
        <v>545</v>
      </c>
      <c r="BK462" t="s">
        <v>112</v>
      </c>
      <c r="BL462" t="s">
        <v>546</v>
      </c>
      <c r="BM462" t="s">
        <v>74</v>
      </c>
      <c r="BN462">
        <v>33420117</v>
      </c>
      <c r="BO462" t="s">
        <v>74</v>
      </c>
      <c r="BP462" t="s">
        <v>74</v>
      </c>
      <c r="BQ462" t="s">
        <v>74</v>
      </c>
      <c r="BR462" t="s">
        <v>93</v>
      </c>
      <c r="BS462" t="s">
        <v>3627</v>
      </c>
      <c r="BT462" t="str">
        <f>HYPERLINK("https%3A%2F%2Fwww.webofscience.com%2Fwos%2Fwoscc%2Ffull-record%2FWOS:000634375500024","View Full Record in Web of Science")</f>
        <v>View Full Record in Web of Science</v>
      </c>
    </row>
    <row r="463" spans="1:72" x14ac:dyDescent="0.15">
      <c r="A463" t="s">
        <v>72</v>
      </c>
      <c r="B463" t="s">
        <v>3902</v>
      </c>
      <c r="C463" t="s">
        <v>74</v>
      </c>
      <c r="D463" t="s">
        <v>74</v>
      </c>
      <c r="E463" t="s">
        <v>74</v>
      </c>
      <c r="F463" t="s">
        <v>3903</v>
      </c>
      <c r="G463" t="s">
        <v>74</v>
      </c>
      <c r="H463" t="s">
        <v>74</v>
      </c>
      <c r="I463" t="s">
        <v>3904</v>
      </c>
      <c r="J463" t="s">
        <v>3905</v>
      </c>
      <c r="K463" t="s">
        <v>74</v>
      </c>
      <c r="L463" t="s">
        <v>74</v>
      </c>
      <c r="M463" t="s">
        <v>74</v>
      </c>
      <c r="N463" t="s">
        <v>78</v>
      </c>
      <c r="O463" t="s">
        <v>74</v>
      </c>
      <c r="P463" t="s">
        <v>74</v>
      </c>
      <c r="Q463" t="s">
        <v>74</v>
      </c>
      <c r="R463" t="s">
        <v>74</v>
      </c>
      <c r="S463" t="s">
        <v>74</v>
      </c>
      <c r="T463" t="s">
        <v>3906</v>
      </c>
      <c r="U463" t="s">
        <v>3907</v>
      </c>
      <c r="V463" t="s">
        <v>3908</v>
      </c>
      <c r="W463" t="s">
        <v>3909</v>
      </c>
      <c r="X463" t="s">
        <v>3910</v>
      </c>
      <c r="Y463" t="s">
        <v>3911</v>
      </c>
      <c r="Z463" t="s">
        <v>3912</v>
      </c>
      <c r="AA463" t="s">
        <v>3913</v>
      </c>
      <c r="AB463" t="s">
        <v>3914</v>
      </c>
      <c r="AC463" t="s">
        <v>74</v>
      </c>
      <c r="AD463" t="s">
        <v>74</v>
      </c>
      <c r="AE463" t="s">
        <v>74</v>
      </c>
      <c r="AF463" t="s">
        <v>74</v>
      </c>
      <c r="AG463">
        <v>58</v>
      </c>
      <c r="AH463">
        <v>7</v>
      </c>
      <c r="AI463">
        <v>7</v>
      </c>
      <c r="AJ463">
        <v>2</v>
      </c>
      <c r="AK463">
        <v>3</v>
      </c>
      <c r="AL463" t="s">
        <v>74</v>
      </c>
      <c r="AM463" t="s">
        <v>74</v>
      </c>
      <c r="AN463" t="s">
        <v>74</v>
      </c>
      <c r="AO463" t="s">
        <v>3915</v>
      </c>
      <c r="AP463" t="s">
        <v>3916</v>
      </c>
      <c r="AQ463" t="s">
        <v>74</v>
      </c>
      <c r="AR463" t="s">
        <v>74</v>
      </c>
      <c r="AS463" t="s">
        <v>74</v>
      </c>
      <c r="AT463" t="s">
        <v>108</v>
      </c>
      <c r="AU463">
        <v>2020</v>
      </c>
      <c r="AV463">
        <v>61</v>
      </c>
      <c r="AW463">
        <v>1</v>
      </c>
      <c r="AX463" t="s">
        <v>74</v>
      </c>
      <c r="AY463" t="s">
        <v>74</v>
      </c>
      <c r="AZ463" t="s">
        <v>74</v>
      </c>
      <c r="BA463" t="s">
        <v>74</v>
      </c>
      <c r="BB463">
        <v>1</v>
      </c>
      <c r="BC463">
        <v>9</v>
      </c>
      <c r="BD463" t="s">
        <v>74</v>
      </c>
      <c r="BE463" t="s">
        <v>3917</v>
      </c>
      <c r="BF463" t="str">
        <f>HYPERLINK("http://dx.doi.org/10.1194/jlr.M092072","http://dx.doi.org/10.1194/jlr.M092072")</f>
        <v>http://dx.doi.org/10.1194/jlr.M092072</v>
      </c>
      <c r="BG463" t="s">
        <v>74</v>
      </c>
      <c r="BH463" t="s">
        <v>74</v>
      </c>
      <c r="BI463" t="s">
        <v>74</v>
      </c>
      <c r="BJ463" t="s">
        <v>92</v>
      </c>
      <c r="BK463" t="s">
        <v>112</v>
      </c>
      <c r="BL463" t="s">
        <v>92</v>
      </c>
      <c r="BM463" t="s">
        <v>74</v>
      </c>
      <c r="BN463" t="s">
        <v>74</v>
      </c>
      <c r="BO463" t="s">
        <v>74</v>
      </c>
      <c r="BP463" t="s">
        <v>74</v>
      </c>
      <c r="BQ463" t="s">
        <v>74</v>
      </c>
      <c r="BR463" t="s">
        <v>93</v>
      </c>
      <c r="BS463" t="s">
        <v>3918</v>
      </c>
      <c r="BT463" t="str">
        <f>HYPERLINK("https%3A%2F%2Fwww.webofscience.com%2Fwos%2Fwoscc%2Ffull-record%2FWOS:000504723200001","View Full Record in Web of Science")</f>
        <v>View Full Record in Web of Science</v>
      </c>
    </row>
    <row r="464" spans="1:72" x14ac:dyDescent="0.15">
      <c r="A464" t="s">
        <v>72</v>
      </c>
      <c r="B464" t="s">
        <v>4865</v>
      </c>
      <c r="C464" t="s">
        <v>74</v>
      </c>
      <c r="D464" t="s">
        <v>74</v>
      </c>
      <c r="E464" t="s">
        <v>74</v>
      </c>
      <c r="F464" t="s">
        <v>4866</v>
      </c>
      <c r="G464" t="s">
        <v>74</v>
      </c>
      <c r="H464" t="s">
        <v>74</v>
      </c>
      <c r="I464" t="s">
        <v>4867</v>
      </c>
      <c r="J464" t="s">
        <v>929</v>
      </c>
      <c r="K464" t="s">
        <v>74</v>
      </c>
      <c r="L464" t="s">
        <v>74</v>
      </c>
      <c r="M464" t="s">
        <v>74</v>
      </c>
      <c r="N464" t="s">
        <v>78</v>
      </c>
      <c r="O464" t="s">
        <v>74</v>
      </c>
      <c r="P464" t="s">
        <v>74</v>
      </c>
      <c r="Q464" t="s">
        <v>74</v>
      </c>
      <c r="R464" t="s">
        <v>74</v>
      </c>
      <c r="S464" t="s">
        <v>74</v>
      </c>
      <c r="T464" t="s">
        <v>74</v>
      </c>
      <c r="U464" t="s">
        <v>4868</v>
      </c>
      <c r="V464" t="s">
        <v>4869</v>
      </c>
      <c r="W464" t="s">
        <v>4870</v>
      </c>
      <c r="X464" t="s">
        <v>4871</v>
      </c>
      <c r="Y464" t="s">
        <v>4872</v>
      </c>
      <c r="Z464" t="s">
        <v>4873</v>
      </c>
      <c r="AA464" t="s">
        <v>4874</v>
      </c>
      <c r="AB464" t="s">
        <v>4875</v>
      </c>
      <c r="AC464" t="s">
        <v>74</v>
      </c>
      <c r="AD464" t="s">
        <v>74</v>
      </c>
      <c r="AE464" t="s">
        <v>74</v>
      </c>
      <c r="AF464" t="s">
        <v>74</v>
      </c>
      <c r="AG464">
        <v>75</v>
      </c>
      <c r="AH464">
        <v>7</v>
      </c>
      <c r="AI464">
        <v>7</v>
      </c>
      <c r="AJ464">
        <v>0</v>
      </c>
      <c r="AK464">
        <v>3</v>
      </c>
      <c r="AL464" t="s">
        <v>74</v>
      </c>
      <c r="AM464" t="s">
        <v>74</v>
      </c>
      <c r="AN464" t="s">
        <v>74</v>
      </c>
      <c r="AO464" t="s">
        <v>74</v>
      </c>
      <c r="AP464" t="s">
        <v>940</v>
      </c>
      <c r="AQ464" t="s">
        <v>74</v>
      </c>
      <c r="AR464" t="s">
        <v>74</v>
      </c>
      <c r="AS464" t="s">
        <v>74</v>
      </c>
      <c r="AT464" t="s">
        <v>4876</v>
      </c>
      <c r="AU464">
        <v>2021</v>
      </c>
      <c r="AV464">
        <v>296</v>
      </c>
      <c r="AW464" t="s">
        <v>74</v>
      </c>
      <c r="AX464" t="s">
        <v>74</v>
      </c>
      <c r="AY464" t="s">
        <v>74</v>
      </c>
      <c r="AZ464" t="s">
        <v>74</v>
      </c>
      <c r="BA464" t="s">
        <v>74</v>
      </c>
      <c r="BB464" t="s">
        <v>74</v>
      </c>
      <c r="BC464" t="s">
        <v>74</v>
      </c>
      <c r="BD464">
        <v>100569</v>
      </c>
      <c r="BE464" t="s">
        <v>4877</v>
      </c>
      <c r="BF464" t="str">
        <f>HYPERLINK("http://dx.doi.org/10.1016/j.jbc.2021.100569","http://dx.doi.org/10.1016/j.jbc.2021.100569")</f>
        <v>http://dx.doi.org/10.1016/j.jbc.2021.100569</v>
      </c>
      <c r="BG464" t="s">
        <v>74</v>
      </c>
      <c r="BH464" t="s">
        <v>74</v>
      </c>
      <c r="BI464" t="s">
        <v>74</v>
      </c>
      <c r="BJ464" t="s">
        <v>92</v>
      </c>
      <c r="BK464" t="s">
        <v>112</v>
      </c>
      <c r="BL464" t="s">
        <v>92</v>
      </c>
      <c r="BM464" t="s">
        <v>74</v>
      </c>
      <c r="BN464">
        <v>33753167</v>
      </c>
      <c r="BO464" t="s">
        <v>74</v>
      </c>
      <c r="BP464" t="s">
        <v>74</v>
      </c>
      <c r="BQ464" t="s">
        <v>74</v>
      </c>
      <c r="BR464" t="s">
        <v>93</v>
      </c>
      <c r="BS464" t="s">
        <v>4878</v>
      </c>
      <c r="BT464" t="str">
        <f>HYPERLINK("https%3A%2F%2Fwww.webofscience.com%2Fwos%2Fwoscc%2Ffull-record%2FWOS:000672866400542","View Full Record in Web of Science")</f>
        <v>View Full Record in Web of Science</v>
      </c>
    </row>
    <row r="465" spans="1:72" x14ac:dyDescent="0.15">
      <c r="A465" t="s">
        <v>72</v>
      </c>
      <c r="B465" t="s">
        <v>5590</v>
      </c>
      <c r="C465" t="s">
        <v>74</v>
      </c>
      <c r="D465" t="s">
        <v>74</v>
      </c>
      <c r="E465" t="s">
        <v>74</v>
      </c>
      <c r="F465" t="s">
        <v>5591</v>
      </c>
      <c r="G465" t="s">
        <v>74</v>
      </c>
      <c r="H465" t="s">
        <v>74</v>
      </c>
      <c r="I465" t="s">
        <v>5592</v>
      </c>
      <c r="J465" t="s">
        <v>1184</v>
      </c>
      <c r="K465" t="s">
        <v>74</v>
      </c>
      <c r="L465" t="s">
        <v>74</v>
      </c>
      <c r="M465" t="s">
        <v>74</v>
      </c>
      <c r="N465" t="s">
        <v>78</v>
      </c>
      <c r="O465" t="s">
        <v>74</v>
      </c>
      <c r="P465" t="s">
        <v>74</v>
      </c>
      <c r="Q465" t="s">
        <v>74</v>
      </c>
      <c r="R465" t="s">
        <v>74</v>
      </c>
      <c r="S465" t="s">
        <v>74</v>
      </c>
      <c r="T465" t="s">
        <v>5593</v>
      </c>
      <c r="U465" t="s">
        <v>5594</v>
      </c>
      <c r="V465" t="s">
        <v>5595</v>
      </c>
      <c r="W465" t="s">
        <v>5596</v>
      </c>
      <c r="X465" t="s">
        <v>5597</v>
      </c>
      <c r="Y465" t="s">
        <v>5598</v>
      </c>
      <c r="Z465" t="s">
        <v>5599</v>
      </c>
      <c r="AA465" t="s">
        <v>5600</v>
      </c>
      <c r="AB465" t="s">
        <v>74</v>
      </c>
      <c r="AC465" t="s">
        <v>74</v>
      </c>
      <c r="AD465" t="s">
        <v>74</v>
      </c>
      <c r="AE465" t="s">
        <v>74</v>
      </c>
      <c r="AF465" t="s">
        <v>74</v>
      </c>
      <c r="AG465">
        <v>50</v>
      </c>
      <c r="AH465">
        <v>7</v>
      </c>
      <c r="AI465">
        <v>8</v>
      </c>
      <c r="AJ465">
        <v>22</v>
      </c>
      <c r="AK465">
        <v>104</v>
      </c>
      <c r="AL465" t="s">
        <v>74</v>
      </c>
      <c r="AM465" t="s">
        <v>74</v>
      </c>
      <c r="AN465" t="s">
        <v>74</v>
      </c>
      <c r="AO465" t="s">
        <v>1193</v>
      </c>
      <c r="AP465" t="s">
        <v>1194</v>
      </c>
      <c r="AQ465" t="s">
        <v>74</v>
      </c>
      <c r="AR465" t="s">
        <v>74</v>
      </c>
      <c r="AS465" t="s">
        <v>74</v>
      </c>
      <c r="AT465" t="s">
        <v>920</v>
      </c>
      <c r="AU465">
        <v>2020</v>
      </c>
      <c r="AV465">
        <v>218</v>
      </c>
      <c r="AW465" t="s">
        <v>74</v>
      </c>
      <c r="AX465" t="s">
        <v>74</v>
      </c>
      <c r="AY465" t="s">
        <v>74</v>
      </c>
      <c r="AZ465" t="s">
        <v>74</v>
      </c>
      <c r="BA465" t="s">
        <v>74</v>
      </c>
      <c r="BB465" t="s">
        <v>74</v>
      </c>
      <c r="BC465" t="s">
        <v>74</v>
      </c>
      <c r="BD465">
        <v>121089</v>
      </c>
      <c r="BE465" t="s">
        <v>5601</v>
      </c>
      <c r="BF465" t="str">
        <f>HYPERLINK("http://dx.doi.org/10.1016/j.talanta.2020.121089","http://dx.doi.org/10.1016/j.talanta.2020.121089")</f>
        <v>http://dx.doi.org/10.1016/j.talanta.2020.121089</v>
      </c>
      <c r="BG465" t="s">
        <v>74</v>
      </c>
      <c r="BH465" t="s">
        <v>74</v>
      </c>
      <c r="BI465" t="s">
        <v>74</v>
      </c>
      <c r="BJ465" t="s">
        <v>1196</v>
      </c>
      <c r="BK465" t="s">
        <v>112</v>
      </c>
      <c r="BL465" t="s">
        <v>1197</v>
      </c>
      <c r="BM465" t="s">
        <v>74</v>
      </c>
      <c r="BN465">
        <v>32797865</v>
      </c>
      <c r="BO465" t="s">
        <v>74</v>
      </c>
      <c r="BP465" t="s">
        <v>74</v>
      </c>
      <c r="BQ465" t="s">
        <v>74</v>
      </c>
      <c r="BR465" t="s">
        <v>93</v>
      </c>
      <c r="BS465" t="s">
        <v>5602</v>
      </c>
      <c r="BT465" t="str">
        <f>HYPERLINK("https%3A%2F%2Fwww.webofscience.com%2Fwos%2Fwoscc%2Ffull-record%2FWOS:000564488700009","View Full Record in Web of Science")</f>
        <v>View Full Record in Web of Science</v>
      </c>
    </row>
    <row r="466" spans="1:72" x14ac:dyDescent="0.15">
      <c r="A466" t="s">
        <v>72</v>
      </c>
      <c r="B466" t="s">
        <v>7988</v>
      </c>
      <c r="C466" t="s">
        <v>74</v>
      </c>
      <c r="D466" t="s">
        <v>74</v>
      </c>
      <c r="E466" t="s">
        <v>74</v>
      </c>
      <c r="F466" t="s">
        <v>7989</v>
      </c>
      <c r="G466" t="s">
        <v>74</v>
      </c>
      <c r="H466" t="s">
        <v>74</v>
      </c>
      <c r="I466" t="s">
        <v>7990</v>
      </c>
      <c r="J466" t="s">
        <v>7991</v>
      </c>
      <c r="K466" t="s">
        <v>74</v>
      </c>
      <c r="L466" t="s">
        <v>74</v>
      </c>
      <c r="M466" t="s">
        <v>74</v>
      </c>
      <c r="N466" t="s">
        <v>78</v>
      </c>
      <c r="O466" t="s">
        <v>74</v>
      </c>
      <c r="P466" t="s">
        <v>74</v>
      </c>
      <c r="Q466" t="s">
        <v>74</v>
      </c>
      <c r="R466" t="s">
        <v>74</v>
      </c>
      <c r="S466" t="s">
        <v>74</v>
      </c>
      <c r="T466" t="s">
        <v>7992</v>
      </c>
      <c r="U466" t="s">
        <v>7993</v>
      </c>
      <c r="V466" t="s">
        <v>7994</v>
      </c>
      <c r="W466" t="s">
        <v>7995</v>
      </c>
      <c r="X466" t="s">
        <v>7996</v>
      </c>
      <c r="Y466" t="s">
        <v>7997</v>
      </c>
      <c r="Z466" t="s">
        <v>7998</v>
      </c>
      <c r="AA466" t="s">
        <v>74</v>
      </c>
      <c r="AB466" t="s">
        <v>7999</v>
      </c>
      <c r="AC466" t="s">
        <v>74</v>
      </c>
      <c r="AD466" t="s">
        <v>74</v>
      </c>
      <c r="AE466" t="s">
        <v>74</v>
      </c>
      <c r="AF466" t="s">
        <v>74</v>
      </c>
      <c r="AG466">
        <v>39</v>
      </c>
      <c r="AH466">
        <v>7</v>
      </c>
      <c r="AI466">
        <v>8</v>
      </c>
      <c r="AJ466">
        <v>2</v>
      </c>
      <c r="AK466">
        <v>9</v>
      </c>
      <c r="AL466" t="s">
        <v>74</v>
      </c>
      <c r="AM466" t="s">
        <v>74</v>
      </c>
      <c r="AN466" t="s">
        <v>74</v>
      </c>
      <c r="AO466" t="s">
        <v>8000</v>
      </c>
      <c r="AP466" t="s">
        <v>8001</v>
      </c>
      <c r="AQ466" t="s">
        <v>74</v>
      </c>
      <c r="AR466" t="s">
        <v>74</v>
      </c>
      <c r="AS466" t="s">
        <v>74</v>
      </c>
      <c r="AT466" t="s">
        <v>437</v>
      </c>
      <c r="AU466">
        <v>2020</v>
      </c>
      <c r="AV466">
        <v>245</v>
      </c>
      <c r="AW466">
        <v>16</v>
      </c>
      <c r="AX466" t="s">
        <v>74</v>
      </c>
      <c r="AY466" t="s">
        <v>74</v>
      </c>
      <c r="AZ466" t="s">
        <v>74</v>
      </c>
      <c r="BA466" t="s">
        <v>74</v>
      </c>
      <c r="BB466">
        <v>1428</v>
      </c>
      <c r="BC466">
        <v>1436</v>
      </c>
      <c r="BD466">
        <v>1535370220945987</v>
      </c>
      <c r="BE466" t="s">
        <v>8002</v>
      </c>
      <c r="BF466" t="str">
        <f>HYPERLINK("http://dx.doi.org/10.1177/1535370220945987","http://dx.doi.org/10.1177/1535370220945987")</f>
        <v>http://dx.doi.org/10.1177/1535370220945987</v>
      </c>
      <c r="BG466" t="s">
        <v>74</v>
      </c>
      <c r="BH466" t="s">
        <v>922</v>
      </c>
      <c r="BI466" t="s">
        <v>74</v>
      </c>
      <c r="BJ466" t="s">
        <v>506</v>
      </c>
      <c r="BK466" t="s">
        <v>112</v>
      </c>
      <c r="BL466" t="s">
        <v>507</v>
      </c>
      <c r="BM466" t="s">
        <v>74</v>
      </c>
      <c r="BN466">
        <v>32741216</v>
      </c>
      <c r="BO466" t="s">
        <v>74</v>
      </c>
      <c r="BP466" t="s">
        <v>74</v>
      </c>
      <c r="BQ466" t="s">
        <v>74</v>
      </c>
      <c r="BR466" t="s">
        <v>93</v>
      </c>
      <c r="BS466" t="s">
        <v>8003</v>
      </c>
      <c r="BT466" t="str">
        <f>HYPERLINK("https%3A%2F%2Fwww.webofscience.com%2Fwos%2Fwoscc%2Ffull-record%2FWOS:000555006900001","View Full Record in Web of Science")</f>
        <v>View Full Record in Web of Science</v>
      </c>
    </row>
    <row r="467" spans="1:72" x14ac:dyDescent="0.15">
      <c r="A467" t="s">
        <v>72</v>
      </c>
      <c r="B467" t="s">
        <v>8004</v>
      </c>
      <c r="C467" t="s">
        <v>74</v>
      </c>
      <c r="D467" t="s">
        <v>74</v>
      </c>
      <c r="E467" t="s">
        <v>74</v>
      </c>
      <c r="F467" t="s">
        <v>8005</v>
      </c>
      <c r="G467" t="s">
        <v>74</v>
      </c>
      <c r="H467" t="s">
        <v>74</v>
      </c>
      <c r="I467" t="s">
        <v>8006</v>
      </c>
      <c r="J467" t="s">
        <v>8007</v>
      </c>
      <c r="K467" t="s">
        <v>74</v>
      </c>
      <c r="L467" t="s">
        <v>74</v>
      </c>
      <c r="M467" t="s">
        <v>74</v>
      </c>
      <c r="N467" t="s">
        <v>78</v>
      </c>
      <c r="O467" t="s">
        <v>74</v>
      </c>
      <c r="P467" t="s">
        <v>74</v>
      </c>
      <c r="Q467" t="s">
        <v>74</v>
      </c>
      <c r="R467" t="s">
        <v>74</v>
      </c>
      <c r="S467" t="s">
        <v>74</v>
      </c>
      <c r="T467" t="s">
        <v>8008</v>
      </c>
      <c r="U467" t="s">
        <v>8009</v>
      </c>
      <c r="V467" t="s">
        <v>8010</v>
      </c>
      <c r="W467" t="s">
        <v>8011</v>
      </c>
      <c r="X467" t="s">
        <v>8012</v>
      </c>
      <c r="Y467" t="s">
        <v>8013</v>
      </c>
      <c r="Z467" t="s">
        <v>8014</v>
      </c>
      <c r="AA467" t="s">
        <v>74</v>
      </c>
      <c r="AB467" t="s">
        <v>8015</v>
      </c>
      <c r="AC467" t="s">
        <v>74</v>
      </c>
      <c r="AD467" t="s">
        <v>74</v>
      </c>
      <c r="AE467" t="s">
        <v>74</v>
      </c>
      <c r="AF467" t="s">
        <v>74</v>
      </c>
      <c r="AG467">
        <v>174</v>
      </c>
      <c r="AH467">
        <v>7</v>
      </c>
      <c r="AI467">
        <v>7</v>
      </c>
      <c r="AJ467">
        <v>4</v>
      </c>
      <c r="AK467">
        <v>5</v>
      </c>
      <c r="AL467" t="s">
        <v>74</v>
      </c>
      <c r="AM467" t="s">
        <v>74</v>
      </c>
      <c r="AN467" t="s">
        <v>74</v>
      </c>
      <c r="AO467" t="s">
        <v>8016</v>
      </c>
      <c r="AP467" t="s">
        <v>74</v>
      </c>
      <c r="AQ467" t="s">
        <v>74</v>
      </c>
      <c r="AR467" t="s">
        <v>74</v>
      </c>
      <c r="AS467" t="s">
        <v>74</v>
      </c>
      <c r="AT467" t="s">
        <v>8017</v>
      </c>
      <c r="AU467">
        <v>2020</v>
      </c>
      <c r="AV467">
        <v>8</v>
      </c>
      <c r="AW467" t="s">
        <v>74</v>
      </c>
      <c r="AX467" t="s">
        <v>74</v>
      </c>
      <c r="AY467" t="s">
        <v>74</v>
      </c>
      <c r="AZ467" t="s">
        <v>74</v>
      </c>
      <c r="BA467" t="s">
        <v>74</v>
      </c>
      <c r="BB467" t="s">
        <v>74</v>
      </c>
      <c r="BC467" t="s">
        <v>74</v>
      </c>
      <c r="BD467" t="s">
        <v>8018</v>
      </c>
      <c r="BE467" t="s">
        <v>8019</v>
      </c>
      <c r="BF467" t="str">
        <f>HYPERLINK("http://dx.doi.org/10.7717/peerj.10062","http://dx.doi.org/10.7717/peerj.10062")</f>
        <v>http://dx.doi.org/10.7717/peerj.10062</v>
      </c>
      <c r="BG467" t="s">
        <v>74</v>
      </c>
      <c r="BH467" t="s">
        <v>74</v>
      </c>
      <c r="BI467" t="s">
        <v>74</v>
      </c>
      <c r="BJ467" t="s">
        <v>545</v>
      </c>
      <c r="BK467" t="s">
        <v>112</v>
      </c>
      <c r="BL467" t="s">
        <v>546</v>
      </c>
      <c r="BM467" t="s">
        <v>74</v>
      </c>
      <c r="BN467">
        <v>33194377</v>
      </c>
      <c r="BO467" t="s">
        <v>74</v>
      </c>
      <c r="BP467" t="s">
        <v>74</v>
      </c>
      <c r="BQ467" t="s">
        <v>74</v>
      </c>
      <c r="BR467" t="s">
        <v>93</v>
      </c>
      <c r="BS467" t="s">
        <v>8020</v>
      </c>
      <c r="BT467" t="str">
        <f>HYPERLINK("https%3A%2F%2Fwww.webofscience.com%2Fwos%2Fwoscc%2Ffull-record%2FWOS:000584330700001","View Full Record in Web of Science")</f>
        <v>View Full Record in Web of Science</v>
      </c>
    </row>
    <row r="468" spans="1:72" x14ac:dyDescent="0.15">
      <c r="A468" t="s">
        <v>72</v>
      </c>
      <c r="B468" t="s">
        <v>8258</v>
      </c>
      <c r="C468" t="s">
        <v>74</v>
      </c>
      <c r="D468" t="s">
        <v>74</v>
      </c>
      <c r="E468" t="s">
        <v>74</v>
      </c>
      <c r="F468" t="s">
        <v>8258</v>
      </c>
      <c r="G468" t="s">
        <v>74</v>
      </c>
      <c r="H468" t="s">
        <v>74</v>
      </c>
      <c r="I468" t="s">
        <v>8259</v>
      </c>
      <c r="J468" t="s">
        <v>8260</v>
      </c>
      <c r="K468" t="s">
        <v>74</v>
      </c>
      <c r="L468" t="s">
        <v>74</v>
      </c>
      <c r="M468" t="s">
        <v>74</v>
      </c>
      <c r="N468" t="s">
        <v>78</v>
      </c>
      <c r="O468" t="s">
        <v>74</v>
      </c>
      <c r="P468" t="s">
        <v>74</v>
      </c>
      <c r="Q468" t="s">
        <v>74</v>
      </c>
      <c r="R468" t="s">
        <v>74</v>
      </c>
      <c r="S468" t="s">
        <v>74</v>
      </c>
      <c r="T468" t="s">
        <v>74</v>
      </c>
      <c r="U468" t="s">
        <v>8261</v>
      </c>
      <c r="V468" t="s">
        <v>8262</v>
      </c>
      <c r="W468" t="s">
        <v>8263</v>
      </c>
      <c r="X468" t="s">
        <v>5130</v>
      </c>
      <c r="Y468" t="s">
        <v>8264</v>
      </c>
      <c r="Z468" t="s">
        <v>74</v>
      </c>
      <c r="AA468" t="s">
        <v>74</v>
      </c>
      <c r="AB468" t="s">
        <v>74</v>
      </c>
      <c r="AC468" t="s">
        <v>74</v>
      </c>
      <c r="AD468" t="s">
        <v>74</v>
      </c>
      <c r="AE468" t="s">
        <v>74</v>
      </c>
      <c r="AF468" t="s">
        <v>74</v>
      </c>
      <c r="AG468">
        <v>49</v>
      </c>
      <c r="AH468">
        <v>7</v>
      </c>
      <c r="AI468">
        <v>7</v>
      </c>
      <c r="AJ468">
        <v>0</v>
      </c>
      <c r="AK468">
        <v>0</v>
      </c>
      <c r="AL468" t="s">
        <v>74</v>
      </c>
      <c r="AM468" t="s">
        <v>74</v>
      </c>
      <c r="AN468" t="s">
        <v>74</v>
      </c>
      <c r="AO468" t="s">
        <v>8265</v>
      </c>
      <c r="AP468" t="s">
        <v>74</v>
      </c>
      <c r="AQ468" t="s">
        <v>74</v>
      </c>
      <c r="AR468" t="s">
        <v>74</v>
      </c>
      <c r="AS468" t="s">
        <v>74</v>
      </c>
      <c r="AT468" t="s">
        <v>108</v>
      </c>
      <c r="AU468">
        <v>1993</v>
      </c>
      <c r="AV468">
        <v>38</v>
      </c>
      <c r="AW468">
        <v>1</v>
      </c>
      <c r="AX468" t="s">
        <v>74</v>
      </c>
      <c r="AY468" t="s">
        <v>74</v>
      </c>
      <c r="AZ468" t="s">
        <v>74</v>
      </c>
      <c r="BA468" t="s">
        <v>74</v>
      </c>
      <c r="BB468">
        <v>1</v>
      </c>
      <c r="BC468">
        <v>18</v>
      </c>
      <c r="BD468" t="s">
        <v>74</v>
      </c>
      <c r="BE468" t="s">
        <v>74</v>
      </c>
      <c r="BF468" t="s">
        <v>74</v>
      </c>
      <c r="BG468" t="s">
        <v>74</v>
      </c>
      <c r="BH468" t="s">
        <v>74</v>
      </c>
      <c r="BI468" t="s">
        <v>74</v>
      </c>
      <c r="BJ468" t="s">
        <v>8266</v>
      </c>
      <c r="BK468" t="s">
        <v>112</v>
      </c>
      <c r="BL468" t="s">
        <v>8267</v>
      </c>
      <c r="BM468" t="s">
        <v>74</v>
      </c>
      <c r="BN468">
        <v>7678433</v>
      </c>
      <c r="BO468" t="s">
        <v>74</v>
      </c>
      <c r="BP468" t="s">
        <v>74</v>
      </c>
      <c r="BQ468" t="s">
        <v>74</v>
      </c>
      <c r="BR468" t="s">
        <v>93</v>
      </c>
      <c r="BS468" t="s">
        <v>8268</v>
      </c>
      <c r="BT468" t="str">
        <f>HYPERLINK("https%3A%2F%2Fwww.webofscience.com%2Fwos%2Fwoscc%2Ffull-record%2FWOS:A1993KH54200001","View Full Record in Web of Science")</f>
        <v>View Full Record in Web of Science</v>
      </c>
    </row>
    <row r="469" spans="1:72" x14ac:dyDescent="0.15">
      <c r="A469" t="s">
        <v>72</v>
      </c>
      <c r="B469" t="s">
        <v>8302</v>
      </c>
      <c r="C469" t="s">
        <v>74</v>
      </c>
      <c r="D469" t="s">
        <v>74</v>
      </c>
      <c r="E469" t="s">
        <v>74</v>
      </c>
      <c r="F469" t="s">
        <v>8303</v>
      </c>
      <c r="G469" t="s">
        <v>74</v>
      </c>
      <c r="H469" t="s">
        <v>74</v>
      </c>
      <c r="I469" t="s">
        <v>8304</v>
      </c>
      <c r="J469" t="s">
        <v>8305</v>
      </c>
      <c r="K469" t="s">
        <v>74</v>
      </c>
      <c r="L469" t="s">
        <v>74</v>
      </c>
      <c r="M469" t="s">
        <v>74</v>
      </c>
      <c r="N469" t="s">
        <v>78</v>
      </c>
      <c r="O469" t="s">
        <v>74</v>
      </c>
      <c r="P469" t="s">
        <v>74</v>
      </c>
      <c r="Q469" t="s">
        <v>74</v>
      </c>
      <c r="R469" t="s">
        <v>74</v>
      </c>
      <c r="S469" t="s">
        <v>74</v>
      </c>
      <c r="T469" t="s">
        <v>8306</v>
      </c>
      <c r="U469" t="s">
        <v>74</v>
      </c>
      <c r="V469" t="s">
        <v>8307</v>
      </c>
      <c r="W469" t="s">
        <v>8308</v>
      </c>
      <c r="X469" t="s">
        <v>8309</v>
      </c>
      <c r="Y469" t="s">
        <v>8310</v>
      </c>
      <c r="Z469" t="s">
        <v>8311</v>
      </c>
      <c r="AA469" t="s">
        <v>8312</v>
      </c>
      <c r="AB469" t="s">
        <v>8313</v>
      </c>
      <c r="AC469" t="s">
        <v>74</v>
      </c>
      <c r="AD469" t="s">
        <v>74</v>
      </c>
      <c r="AE469" t="s">
        <v>74</v>
      </c>
      <c r="AF469" t="s">
        <v>74</v>
      </c>
      <c r="AG469">
        <v>51</v>
      </c>
      <c r="AH469">
        <v>7</v>
      </c>
      <c r="AI469">
        <v>7</v>
      </c>
      <c r="AJ469">
        <v>1</v>
      </c>
      <c r="AK469">
        <v>6</v>
      </c>
      <c r="AL469" t="s">
        <v>74</v>
      </c>
      <c r="AM469" t="s">
        <v>74</v>
      </c>
      <c r="AN469" t="s">
        <v>74</v>
      </c>
      <c r="AO469" t="s">
        <v>8314</v>
      </c>
      <c r="AP469" t="s">
        <v>8315</v>
      </c>
      <c r="AQ469" t="s">
        <v>74</v>
      </c>
      <c r="AR469" t="s">
        <v>74</v>
      </c>
      <c r="AS469" t="s">
        <v>74</v>
      </c>
      <c r="AT469" t="s">
        <v>8316</v>
      </c>
      <c r="AU469">
        <v>2021</v>
      </c>
      <c r="AV469">
        <v>52</v>
      </c>
      <c r="AW469">
        <v>1</v>
      </c>
      <c r="AX469" t="s">
        <v>74</v>
      </c>
      <c r="AY469" t="s">
        <v>74</v>
      </c>
      <c r="AZ469" t="s">
        <v>74</v>
      </c>
      <c r="BA469" t="s">
        <v>74</v>
      </c>
      <c r="BB469" t="s">
        <v>74</v>
      </c>
      <c r="BC469" t="s">
        <v>74</v>
      </c>
      <c r="BD469">
        <v>36</v>
      </c>
      <c r="BE469" t="s">
        <v>8317</v>
      </c>
      <c r="BF469" t="str">
        <f>HYPERLINK("http://dx.doi.org/10.1186/s13567-021-00892-3","http://dx.doi.org/10.1186/s13567-021-00892-3")</f>
        <v>http://dx.doi.org/10.1186/s13567-021-00892-3</v>
      </c>
      <c r="BG469" t="s">
        <v>74</v>
      </c>
      <c r="BH469" t="s">
        <v>74</v>
      </c>
      <c r="BI469" t="s">
        <v>74</v>
      </c>
      <c r="BJ469" t="s">
        <v>987</v>
      </c>
      <c r="BK469" t="s">
        <v>112</v>
      </c>
      <c r="BL469" t="s">
        <v>987</v>
      </c>
      <c r="BM469" t="s">
        <v>74</v>
      </c>
      <c r="BN469">
        <v>33658079</v>
      </c>
      <c r="BO469" t="s">
        <v>74</v>
      </c>
      <c r="BP469" t="s">
        <v>74</v>
      </c>
      <c r="BQ469" t="s">
        <v>74</v>
      </c>
      <c r="BR469" t="s">
        <v>93</v>
      </c>
      <c r="BS469" t="s">
        <v>8318</v>
      </c>
      <c r="BT469" t="str">
        <f>HYPERLINK("https%3A%2F%2Fwww.webofscience.com%2Fwos%2Fwoscc%2Ffull-record%2FWOS:000625118300001","View Full Record in Web of Science")</f>
        <v>View Full Record in Web of Science</v>
      </c>
    </row>
    <row r="470" spans="1:72" x14ac:dyDescent="0.15">
      <c r="A470" t="s">
        <v>72</v>
      </c>
      <c r="B470" t="s">
        <v>8755</v>
      </c>
      <c r="C470" t="s">
        <v>74</v>
      </c>
      <c r="D470" t="s">
        <v>74</v>
      </c>
      <c r="E470" t="s">
        <v>74</v>
      </c>
      <c r="F470" t="s">
        <v>8756</v>
      </c>
      <c r="G470" t="s">
        <v>74</v>
      </c>
      <c r="H470" t="s">
        <v>74</v>
      </c>
      <c r="I470" t="s">
        <v>8757</v>
      </c>
      <c r="J470" t="s">
        <v>6854</v>
      </c>
      <c r="K470" t="s">
        <v>74</v>
      </c>
      <c r="L470" t="s">
        <v>74</v>
      </c>
      <c r="M470" t="s">
        <v>74</v>
      </c>
      <c r="N470" t="s">
        <v>78</v>
      </c>
      <c r="O470" t="s">
        <v>74</v>
      </c>
      <c r="P470" t="s">
        <v>74</v>
      </c>
      <c r="Q470" t="s">
        <v>74</v>
      </c>
      <c r="R470" t="s">
        <v>74</v>
      </c>
      <c r="S470" t="s">
        <v>74</v>
      </c>
      <c r="T470" t="s">
        <v>74</v>
      </c>
      <c r="U470" t="s">
        <v>74</v>
      </c>
      <c r="V470" t="s">
        <v>8758</v>
      </c>
      <c r="W470" t="s">
        <v>8759</v>
      </c>
      <c r="X470" t="s">
        <v>8760</v>
      </c>
      <c r="Y470" t="s">
        <v>8761</v>
      </c>
      <c r="Z470" t="s">
        <v>8762</v>
      </c>
      <c r="AA470" t="s">
        <v>8763</v>
      </c>
      <c r="AB470" t="s">
        <v>8764</v>
      </c>
      <c r="AC470" t="s">
        <v>74</v>
      </c>
      <c r="AD470" t="s">
        <v>74</v>
      </c>
      <c r="AE470" t="s">
        <v>74</v>
      </c>
      <c r="AF470" t="s">
        <v>74</v>
      </c>
      <c r="AG470">
        <v>41</v>
      </c>
      <c r="AH470">
        <v>7</v>
      </c>
      <c r="AI470">
        <v>7</v>
      </c>
      <c r="AJ470">
        <v>16</v>
      </c>
      <c r="AK470">
        <v>65</v>
      </c>
      <c r="AL470" t="s">
        <v>74</v>
      </c>
      <c r="AM470" t="s">
        <v>74</v>
      </c>
      <c r="AN470" t="s">
        <v>74</v>
      </c>
      <c r="AO470" t="s">
        <v>6863</v>
      </c>
      <c r="AP470" t="s">
        <v>6864</v>
      </c>
      <c r="AQ470" t="s">
        <v>74</v>
      </c>
      <c r="AR470" t="s">
        <v>74</v>
      </c>
      <c r="AS470" t="s">
        <v>74</v>
      </c>
      <c r="AT470" t="s">
        <v>8765</v>
      </c>
      <c r="AU470">
        <v>2021</v>
      </c>
      <c r="AV470">
        <v>146</v>
      </c>
      <c r="AW470">
        <v>6</v>
      </c>
      <c r="AX470" t="s">
        <v>74</v>
      </c>
      <c r="AY470" t="s">
        <v>74</v>
      </c>
      <c r="AZ470" t="s">
        <v>74</v>
      </c>
      <c r="BA470" t="s">
        <v>74</v>
      </c>
      <c r="BB470">
        <v>1924</v>
      </c>
      <c r="BC470">
        <v>1931</v>
      </c>
      <c r="BD470" t="s">
        <v>74</v>
      </c>
      <c r="BE470" t="s">
        <v>8766</v>
      </c>
      <c r="BF470" t="str">
        <f>HYPERLINK("http://dx.doi.org/10.1039/d0an02193h","http://dx.doi.org/10.1039/d0an02193h")</f>
        <v>http://dx.doi.org/10.1039/d0an02193h</v>
      </c>
      <c r="BG470" t="s">
        <v>74</v>
      </c>
      <c r="BH470" t="s">
        <v>74</v>
      </c>
      <c r="BI470" t="s">
        <v>74</v>
      </c>
      <c r="BJ470" t="s">
        <v>1196</v>
      </c>
      <c r="BK470" t="s">
        <v>112</v>
      </c>
      <c r="BL470" t="s">
        <v>1197</v>
      </c>
      <c r="BM470" t="s">
        <v>74</v>
      </c>
      <c r="BN470">
        <v>33491014</v>
      </c>
      <c r="BO470" t="s">
        <v>74</v>
      </c>
      <c r="BP470" t="s">
        <v>74</v>
      </c>
      <c r="BQ470" t="s">
        <v>74</v>
      </c>
      <c r="BR470" t="s">
        <v>93</v>
      </c>
      <c r="BS470" t="s">
        <v>8767</v>
      </c>
      <c r="BT470" t="str">
        <f>HYPERLINK("https%3A%2F%2Fwww.webofscience.com%2Fwos%2Fwoscc%2Ffull-record%2FWOS:000631575100015","View Full Record in Web of Science")</f>
        <v>View Full Record in Web of Science</v>
      </c>
    </row>
    <row r="471" spans="1:72" x14ac:dyDescent="0.15">
      <c r="A471" t="s">
        <v>72</v>
      </c>
      <c r="B471" t="s">
        <v>9093</v>
      </c>
      <c r="C471" t="s">
        <v>74</v>
      </c>
      <c r="D471" t="s">
        <v>74</v>
      </c>
      <c r="E471" t="s">
        <v>74</v>
      </c>
      <c r="F471" t="s">
        <v>9094</v>
      </c>
      <c r="G471" t="s">
        <v>74</v>
      </c>
      <c r="H471" t="s">
        <v>74</v>
      </c>
      <c r="I471" t="s">
        <v>9095</v>
      </c>
      <c r="J471" t="s">
        <v>2850</v>
      </c>
      <c r="K471" t="s">
        <v>74</v>
      </c>
      <c r="L471" t="s">
        <v>74</v>
      </c>
      <c r="M471" t="s">
        <v>74</v>
      </c>
      <c r="N471" t="s">
        <v>78</v>
      </c>
      <c r="O471" t="s">
        <v>74</v>
      </c>
      <c r="P471" t="s">
        <v>74</v>
      </c>
      <c r="Q471" t="s">
        <v>74</v>
      </c>
      <c r="R471" t="s">
        <v>74</v>
      </c>
      <c r="S471" t="s">
        <v>74</v>
      </c>
      <c r="T471" t="s">
        <v>74</v>
      </c>
      <c r="U471" t="s">
        <v>9096</v>
      </c>
      <c r="V471" t="s">
        <v>9097</v>
      </c>
      <c r="W471" t="s">
        <v>9098</v>
      </c>
      <c r="X471" t="s">
        <v>9099</v>
      </c>
      <c r="Y471" t="s">
        <v>9100</v>
      </c>
      <c r="Z471" t="s">
        <v>9101</v>
      </c>
      <c r="AA471" t="s">
        <v>9102</v>
      </c>
      <c r="AB471" t="s">
        <v>9103</v>
      </c>
      <c r="AC471" t="s">
        <v>74</v>
      </c>
      <c r="AD471" t="s">
        <v>74</v>
      </c>
      <c r="AE471" t="s">
        <v>74</v>
      </c>
      <c r="AF471" t="s">
        <v>74</v>
      </c>
      <c r="AG471">
        <v>64</v>
      </c>
      <c r="AH471">
        <v>7</v>
      </c>
      <c r="AI471">
        <v>7</v>
      </c>
      <c r="AJ471">
        <v>6</v>
      </c>
      <c r="AK471">
        <v>23</v>
      </c>
      <c r="AL471" t="s">
        <v>74</v>
      </c>
      <c r="AM471" t="s">
        <v>74</v>
      </c>
      <c r="AN471" t="s">
        <v>74</v>
      </c>
      <c r="AO471" t="s">
        <v>74</v>
      </c>
      <c r="AP471" t="s">
        <v>2859</v>
      </c>
      <c r="AQ471" t="s">
        <v>74</v>
      </c>
      <c r="AR471" t="s">
        <v>74</v>
      </c>
      <c r="AS471" t="s">
        <v>74</v>
      </c>
      <c r="AT471" t="s">
        <v>399</v>
      </c>
      <c r="AU471">
        <v>2021</v>
      </c>
      <c r="AV471">
        <v>12</v>
      </c>
      <c r="AW471">
        <v>1</v>
      </c>
      <c r="AX471" t="s">
        <v>74</v>
      </c>
      <c r="AY471" t="s">
        <v>74</v>
      </c>
      <c r="AZ471" t="s">
        <v>74</v>
      </c>
      <c r="BA471" t="s">
        <v>74</v>
      </c>
      <c r="BB471" t="s">
        <v>74</v>
      </c>
      <c r="BC471" t="s">
        <v>74</v>
      </c>
      <c r="BD471">
        <v>5541</v>
      </c>
      <c r="BE471" t="s">
        <v>9104</v>
      </c>
      <c r="BF471" t="str">
        <f>HYPERLINK("http://dx.doi.org/10.1038/s41467-021-25839-2","http://dx.doi.org/10.1038/s41467-021-25839-2")</f>
        <v>http://dx.doi.org/10.1038/s41467-021-25839-2</v>
      </c>
      <c r="BG471" t="s">
        <v>74</v>
      </c>
      <c r="BH471" t="s">
        <v>74</v>
      </c>
      <c r="BI471" t="s">
        <v>74</v>
      </c>
      <c r="BJ471" t="s">
        <v>545</v>
      </c>
      <c r="BK471" t="s">
        <v>112</v>
      </c>
      <c r="BL471" t="s">
        <v>546</v>
      </c>
      <c r="BM471" t="s">
        <v>74</v>
      </c>
      <c r="BN471">
        <v>34545097</v>
      </c>
      <c r="BO471" t="s">
        <v>74</v>
      </c>
      <c r="BP471" t="s">
        <v>74</v>
      </c>
      <c r="BQ471" t="s">
        <v>74</v>
      </c>
      <c r="BR471" t="s">
        <v>93</v>
      </c>
      <c r="BS471" t="s">
        <v>9105</v>
      </c>
      <c r="BT471" t="str">
        <f>HYPERLINK("https%3A%2F%2Fwww.webofscience.com%2Fwos%2Fwoscc%2Ffull-record%2FWOS:000698606100001","View Full Record in Web of Science")</f>
        <v>View Full Record in Web of Science</v>
      </c>
    </row>
    <row r="472" spans="1:72" x14ac:dyDescent="0.15">
      <c r="A472" t="s">
        <v>72</v>
      </c>
      <c r="B472" t="s">
        <v>9581</v>
      </c>
      <c r="C472" t="s">
        <v>74</v>
      </c>
      <c r="D472" t="s">
        <v>74</v>
      </c>
      <c r="E472" t="s">
        <v>74</v>
      </c>
      <c r="F472" t="s">
        <v>9582</v>
      </c>
      <c r="G472" t="s">
        <v>74</v>
      </c>
      <c r="H472" t="s">
        <v>74</v>
      </c>
      <c r="I472" t="s">
        <v>9583</v>
      </c>
      <c r="J472" t="s">
        <v>9584</v>
      </c>
      <c r="K472" t="s">
        <v>74</v>
      </c>
      <c r="L472" t="s">
        <v>74</v>
      </c>
      <c r="M472" t="s">
        <v>74</v>
      </c>
      <c r="N472" t="s">
        <v>78</v>
      </c>
      <c r="O472" t="s">
        <v>74</v>
      </c>
      <c r="P472" t="s">
        <v>74</v>
      </c>
      <c r="Q472" t="s">
        <v>74</v>
      </c>
      <c r="R472" t="s">
        <v>74</v>
      </c>
      <c r="S472" t="s">
        <v>74</v>
      </c>
      <c r="T472" t="s">
        <v>74</v>
      </c>
      <c r="U472" t="s">
        <v>9585</v>
      </c>
      <c r="V472" t="s">
        <v>9586</v>
      </c>
      <c r="W472" t="s">
        <v>9587</v>
      </c>
      <c r="X472" t="s">
        <v>9588</v>
      </c>
      <c r="Y472" t="s">
        <v>9589</v>
      </c>
      <c r="Z472" t="s">
        <v>9590</v>
      </c>
      <c r="AA472" t="s">
        <v>74</v>
      </c>
      <c r="AB472" t="s">
        <v>74</v>
      </c>
      <c r="AC472" t="s">
        <v>74</v>
      </c>
      <c r="AD472" t="s">
        <v>74</v>
      </c>
      <c r="AE472" t="s">
        <v>74</v>
      </c>
      <c r="AF472" t="s">
        <v>74</v>
      </c>
      <c r="AG472">
        <v>47</v>
      </c>
      <c r="AH472">
        <v>7</v>
      </c>
      <c r="AI472">
        <v>7</v>
      </c>
      <c r="AJ472">
        <v>0</v>
      </c>
      <c r="AK472">
        <v>2</v>
      </c>
      <c r="AL472" t="s">
        <v>74</v>
      </c>
      <c r="AM472" t="s">
        <v>74</v>
      </c>
      <c r="AN472" t="s">
        <v>74</v>
      </c>
      <c r="AO472" t="s">
        <v>74</v>
      </c>
      <c r="AP472" t="s">
        <v>9591</v>
      </c>
      <c r="AQ472" t="s">
        <v>74</v>
      </c>
      <c r="AR472" t="s">
        <v>74</v>
      </c>
      <c r="AS472" t="s">
        <v>74</v>
      </c>
      <c r="AT472" t="s">
        <v>1111</v>
      </c>
      <c r="AU472">
        <v>2021</v>
      </c>
      <c r="AV472">
        <v>12</v>
      </c>
      <c r="AW472">
        <v>5</v>
      </c>
      <c r="AX472" t="s">
        <v>74</v>
      </c>
      <c r="AY472" t="s">
        <v>74</v>
      </c>
      <c r="AZ472" t="s">
        <v>74</v>
      </c>
      <c r="BA472" t="s">
        <v>74</v>
      </c>
      <c r="BB472" t="s">
        <v>74</v>
      </c>
      <c r="BC472" t="s">
        <v>74</v>
      </c>
      <c r="BD472" t="s">
        <v>9592</v>
      </c>
      <c r="BE472" t="s">
        <v>9593</v>
      </c>
      <c r="BF472" t="str">
        <f>HYPERLINK("http://dx.doi.org/10.14309/ctg.0000000000000356","http://dx.doi.org/10.14309/ctg.0000000000000356")</f>
        <v>http://dx.doi.org/10.14309/ctg.0000000000000356</v>
      </c>
      <c r="BG472" t="s">
        <v>74</v>
      </c>
      <c r="BH472" t="s">
        <v>74</v>
      </c>
      <c r="BI472" t="s">
        <v>74</v>
      </c>
      <c r="BJ472" t="s">
        <v>5475</v>
      </c>
      <c r="BK472" t="s">
        <v>112</v>
      </c>
      <c r="BL472" t="s">
        <v>5475</v>
      </c>
      <c r="BM472" t="s">
        <v>74</v>
      </c>
      <c r="BN472">
        <v>33979310</v>
      </c>
      <c r="BO472" t="s">
        <v>74</v>
      </c>
      <c r="BP472" t="s">
        <v>74</v>
      </c>
      <c r="BQ472" t="s">
        <v>74</v>
      </c>
      <c r="BR472" t="s">
        <v>93</v>
      </c>
      <c r="BS472" t="s">
        <v>9594</v>
      </c>
      <c r="BT472" t="str">
        <f>HYPERLINK("https%3A%2F%2Fwww.webofscience.com%2Fwos%2Fwoscc%2Ffull-record%2FWOS:000681350500017","View Full Record in Web of Science")</f>
        <v>View Full Record in Web of Science</v>
      </c>
    </row>
    <row r="473" spans="1:72" x14ac:dyDescent="0.15">
      <c r="A473" t="s">
        <v>72</v>
      </c>
      <c r="B473" t="s">
        <v>10679</v>
      </c>
      <c r="C473" t="s">
        <v>74</v>
      </c>
      <c r="D473" t="s">
        <v>74</v>
      </c>
      <c r="E473" t="s">
        <v>74</v>
      </c>
      <c r="F473" t="s">
        <v>10680</v>
      </c>
      <c r="G473" t="s">
        <v>74</v>
      </c>
      <c r="H473" t="s">
        <v>74</v>
      </c>
      <c r="I473" t="s">
        <v>10681</v>
      </c>
      <c r="J473" t="s">
        <v>1828</v>
      </c>
      <c r="K473" t="s">
        <v>74</v>
      </c>
      <c r="L473" t="s">
        <v>74</v>
      </c>
      <c r="M473" t="s">
        <v>74</v>
      </c>
      <c r="N473" t="s">
        <v>78</v>
      </c>
      <c r="O473" t="s">
        <v>74</v>
      </c>
      <c r="P473" t="s">
        <v>74</v>
      </c>
      <c r="Q473" t="s">
        <v>74</v>
      </c>
      <c r="R473" t="s">
        <v>74</v>
      </c>
      <c r="S473" t="s">
        <v>74</v>
      </c>
      <c r="T473" t="s">
        <v>74</v>
      </c>
      <c r="U473" t="s">
        <v>10682</v>
      </c>
      <c r="V473" t="s">
        <v>10683</v>
      </c>
      <c r="W473" t="s">
        <v>10684</v>
      </c>
      <c r="X473" t="s">
        <v>10685</v>
      </c>
      <c r="Y473" t="s">
        <v>2240</v>
      </c>
      <c r="Z473" t="s">
        <v>1957</v>
      </c>
      <c r="AA473" t="s">
        <v>1958</v>
      </c>
      <c r="AB473" t="s">
        <v>10686</v>
      </c>
      <c r="AC473" t="s">
        <v>74</v>
      </c>
      <c r="AD473" t="s">
        <v>74</v>
      </c>
      <c r="AE473" t="s">
        <v>74</v>
      </c>
      <c r="AF473" t="s">
        <v>74</v>
      </c>
      <c r="AG473">
        <v>44</v>
      </c>
      <c r="AH473">
        <v>7</v>
      </c>
      <c r="AI473">
        <v>7</v>
      </c>
      <c r="AJ473">
        <v>1</v>
      </c>
      <c r="AK473">
        <v>4</v>
      </c>
      <c r="AL473" t="s">
        <v>74</v>
      </c>
      <c r="AM473" t="s">
        <v>74</v>
      </c>
      <c r="AN473" t="s">
        <v>74</v>
      </c>
      <c r="AO473" t="s">
        <v>1837</v>
      </c>
      <c r="AP473" t="s">
        <v>74</v>
      </c>
      <c r="AQ473" t="s">
        <v>74</v>
      </c>
      <c r="AR473" t="s">
        <v>74</v>
      </c>
      <c r="AS473" t="s">
        <v>74</v>
      </c>
      <c r="AT473" t="s">
        <v>7693</v>
      </c>
      <c r="AU473">
        <v>2019</v>
      </c>
      <c r="AV473">
        <v>9</v>
      </c>
      <c r="AW473" t="s">
        <v>74</v>
      </c>
      <c r="AX473" t="s">
        <v>74</v>
      </c>
      <c r="AY473" t="s">
        <v>74</v>
      </c>
      <c r="AZ473" t="s">
        <v>74</v>
      </c>
      <c r="BA473" t="s">
        <v>74</v>
      </c>
      <c r="BB473" t="s">
        <v>74</v>
      </c>
      <c r="BC473" t="s">
        <v>74</v>
      </c>
      <c r="BD473">
        <v>2384</v>
      </c>
      <c r="BE473" t="s">
        <v>10687</v>
      </c>
      <c r="BF473" t="str">
        <f>HYPERLINK("http://dx.doi.org/10.1038/s41598-019-38736-y","http://dx.doi.org/10.1038/s41598-019-38736-y")</f>
        <v>http://dx.doi.org/10.1038/s41598-019-38736-y</v>
      </c>
      <c r="BG473" t="s">
        <v>74</v>
      </c>
      <c r="BH473" t="s">
        <v>74</v>
      </c>
      <c r="BI473" t="s">
        <v>74</v>
      </c>
      <c r="BJ473" t="s">
        <v>545</v>
      </c>
      <c r="BK473" t="s">
        <v>112</v>
      </c>
      <c r="BL473" t="s">
        <v>546</v>
      </c>
      <c r="BM473" t="s">
        <v>74</v>
      </c>
      <c r="BN473">
        <v>30787346</v>
      </c>
      <c r="BO473" t="s">
        <v>74</v>
      </c>
      <c r="BP473" t="s">
        <v>74</v>
      </c>
      <c r="BQ473" t="s">
        <v>74</v>
      </c>
      <c r="BR473" t="s">
        <v>93</v>
      </c>
      <c r="BS473" t="s">
        <v>10688</v>
      </c>
      <c r="BT473" t="str">
        <f>HYPERLINK("https%3A%2F%2Fwww.webofscience.com%2Fwos%2Fwoscc%2Ffull-record%2FWOS:000459094800065","View Full Record in Web of Science")</f>
        <v>View Full Record in Web of Science</v>
      </c>
    </row>
    <row r="474" spans="1:72" x14ac:dyDescent="0.15">
      <c r="A474" t="s">
        <v>72</v>
      </c>
      <c r="B474" t="s">
        <v>351</v>
      </c>
      <c r="C474" t="s">
        <v>74</v>
      </c>
      <c r="D474" t="s">
        <v>74</v>
      </c>
      <c r="E474" t="s">
        <v>74</v>
      </c>
      <c r="F474" t="s">
        <v>352</v>
      </c>
      <c r="G474" t="s">
        <v>74</v>
      </c>
      <c r="H474" t="s">
        <v>74</v>
      </c>
      <c r="I474" t="s">
        <v>353</v>
      </c>
      <c r="J474" t="s">
        <v>354</v>
      </c>
      <c r="K474" t="s">
        <v>74</v>
      </c>
      <c r="L474" t="s">
        <v>74</v>
      </c>
      <c r="M474" t="s">
        <v>74</v>
      </c>
      <c r="N474" t="s">
        <v>78</v>
      </c>
      <c r="O474" t="s">
        <v>74</v>
      </c>
      <c r="P474" t="s">
        <v>74</v>
      </c>
      <c r="Q474" t="s">
        <v>74</v>
      </c>
      <c r="R474" t="s">
        <v>74</v>
      </c>
      <c r="S474" t="s">
        <v>74</v>
      </c>
      <c r="T474" t="s">
        <v>355</v>
      </c>
      <c r="U474" t="s">
        <v>356</v>
      </c>
      <c r="V474" t="s">
        <v>357</v>
      </c>
      <c r="W474" t="s">
        <v>358</v>
      </c>
      <c r="X474" t="s">
        <v>359</v>
      </c>
      <c r="Y474" t="s">
        <v>360</v>
      </c>
      <c r="Z474" t="s">
        <v>361</v>
      </c>
      <c r="AA474" t="s">
        <v>74</v>
      </c>
      <c r="AB474" t="s">
        <v>74</v>
      </c>
      <c r="AC474" t="s">
        <v>74</v>
      </c>
      <c r="AD474" t="s">
        <v>74</v>
      </c>
      <c r="AE474" t="s">
        <v>74</v>
      </c>
      <c r="AF474" t="s">
        <v>74</v>
      </c>
      <c r="AG474">
        <v>58</v>
      </c>
      <c r="AH474">
        <v>6</v>
      </c>
      <c r="AI474">
        <v>6</v>
      </c>
      <c r="AJ474">
        <v>5</v>
      </c>
      <c r="AK474">
        <v>26</v>
      </c>
      <c r="AL474" t="s">
        <v>74</v>
      </c>
      <c r="AM474" t="s">
        <v>74</v>
      </c>
      <c r="AN474" t="s">
        <v>74</v>
      </c>
      <c r="AO474" t="s">
        <v>362</v>
      </c>
      <c r="AP474" t="s">
        <v>363</v>
      </c>
      <c r="AQ474" t="s">
        <v>74</v>
      </c>
      <c r="AR474" t="s">
        <v>74</v>
      </c>
      <c r="AS474" t="s">
        <v>74</v>
      </c>
      <c r="AT474" t="s">
        <v>364</v>
      </c>
      <c r="AU474">
        <v>2020</v>
      </c>
      <c r="AV474">
        <v>39</v>
      </c>
      <c r="AW474">
        <v>9</v>
      </c>
      <c r="AX474" t="s">
        <v>74</v>
      </c>
      <c r="AY474" t="s">
        <v>74</v>
      </c>
      <c r="AZ474" t="s">
        <v>74</v>
      </c>
      <c r="BA474" t="s">
        <v>74</v>
      </c>
      <c r="BB474">
        <v>1486</v>
      </c>
      <c r="BC474">
        <v>1493</v>
      </c>
      <c r="BD474" t="s">
        <v>74</v>
      </c>
      <c r="BE474" t="s">
        <v>365</v>
      </c>
      <c r="BF474" t="str">
        <f>HYPERLINK("http://dx.doi.org/10.1089/dna.2019.5005","http://dx.doi.org/10.1089/dna.2019.5005")</f>
        <v>http://dx.doi.org/10.1089/dna.2019.5005</v>
      </c>
      <c r="BG474" t="s">
        <v>74</v>
      </c>
      <c r="BH474" t="s">
        <v>366</v>
      </c>
      <c r="BI474" t="s">
        <v>74</v>
      </c>
      <c r="BJ474" t="s">
        <v>367</v>
      </c>
      <c r="BK474" t="s">
        <v>112</v>
      </c>
      <c r="BL474" t="s">
        <v>367</v>
      </c>
      <c r="BM474" t="s">
        <v>74</v>
      </c>
      <c r="BN474">
        <v>32551866</v>
      </c>
      <c r="BO474" t="s">
        <v>74</v>
      </c>
      <c r="BP474" t="s">
        <v>74</v>
      </c>
      <c r="BQ474" t="s">
        <v>74</v>
      </c>
      <c r="BR474" t="s">
        <v>93</v>
      </c>
      <c r="BS474" t="s">
        <v>368</v>
      </c>
      <c r="BT474" t="str">
        <f>HYPERLINK("https%3A%2F%2Fwww.webofscience.com%2Fwos%2Fwoscc%2Ffull-record%2FWOS:000541768700001","View Full Record in Web of Science")</f>
        <v>View Full Record in Web of Science</v>
      </c>
    </row>
    <row r="475" spans="1:72" x14ac:dyDescent="0.15">
      <c r="A475" t="s">
        <v>72</v>
      </c>
      <c r="B475" t="s">
        <v>841</v>
      </c>
      <c r="C475" t="s">
        <v>74</v>
      </c>
      <c r="D475" t="s">
        <v>74</v>
      </c>
      <c r="E475" t="s">
        <v>74</v>
      </c>
      <c r="F475" t="s">
        <v>842</v>
      </c>
      <c r="G475" t="s">
        <v>74</v>
      </c>
      <c r="H475" t="s">
        <v>74</v>
      </c>
      <c r="I475" t="s">
        <v>843</v>
      </c>
      <c r="J475" t="s">
        <v>844</v>
      </c>
      <c r="K475" t="s">
        <v>74</v>
      </c>
      <c r="L475" t="s">
        <v>74</v>
      </c>
      <c r="M475" t="s">
        <v>74</v>
      </c>
      <c r="N475" t="s">
        <v>78</v>
      </c>
      <c r="O475" t="s">
        <v>74</v>
      </c>
      <c r="P475" t="s">
        <v>74</v>
      </c>
      <c r="Q475" t="s">
        <v>74</v>
      </c>
      <c r="R475" t="s">
        <v>74</v>
      </c>
      <c r="S475" t="s">
        <v>74</v>
      </c>
      <c r="T475" t="s">
        <v>845</v>
      </c>
      <c r="U475" t="s">
        <v>74</v>
      </c>
      <c r="V475" t="s">
        <v>74</v>
      </c>
      <c r="W475" t="s">
        <v>846</v>
      </c>
      <c r="X475" t="s">
        <v>847</v>
      </c>
      <c r="Y475" t="s">
        <v>848</v>
      </c>
      <c r="Z475" t="s">
        <v>849</v>
      </c>
      <c r="AA475" t="s">
        <v>850</v>
      </c>
      <c r="AB475" t="s">
        <v>851</v>
      </c>
      <c r="AC475" t="s">
        <v>74</v>
      </c>
      <c r="AD475" t="s">
        <v>74</v>
      </c>
      <c r="AE475" t="s">
        <v>74</v>
      </c>
      <c r="AF475" t="s">
        <v>74</v>
      </c>
      <c r="AG475">
        <v>66</v>
      </c>
      <c r="AH475">
        <v>6</v>
      </c>
      <c r="AI475">
        <v>6</v>
      </c>
      <c r="AJ475">
        <v>1</v>
      </c>
      <c r="AK475">
        <v>3</v>
      </c>
      <c r="AL475" t="s">
        <v>74</v>
      </c>
      <c r="AM475" t="s">
        <v>74</v>
      </c>
      <c r="AN475" t="s">
        <v>74</v>
      </c>
      <c r="AO475" t="s">
        <v>852</v>
      </c>
      <c r="AP475" t="s">
        <v>74</v>
      </c>
      <c r="AQ475" t="s">
        <v>74</v>
      </c>
      <c r="AR475" t="s">
        <v>74</v>
      </c>
      <c r="AS475" t="s">
        <v>74</v>
      </c>
      <c r="AT475" t="s">
        <v>853</v>
      </c>
      <c r="AU475">
        <v>2021</v>
      </c>
      <c r="AV475">
        <v>8</v>
      </c>
      <c r="AW475" t="s">
        <v>74</v>
      </c>
      <c r="AX475" t="s">
        <v>74</v>
      </c>
      <c r="AY475" t="s">
        <v>74</v>
      </c>
      <c r="AZ475" t="s">
        <v>74</v>
      </c>
      <c r="BA475" t="s">
        <v>74</v>
      </c>
      <c r="BB475" t="s">
        <v>74</v>
      </c>
      <c r="BC475" t="s">
        <v>74</v>
      </c>
      <c r="BD475">
        <v>622579</v>
      </c>
      <c r="BE475" t="s">
        <v>854</v>
      </c>
      <c r="BF475" t="str">
        <f>HYPERLINK("http://dx.doi.org/10.3389/fcell.2020.622579","http://dx.doi.org/10.3389/fcell.2020.622579")</f>
        <v>http://dx.doi.org/10.3389/fcell.2020.622579</v>
      </c>
      <c r="BG475" t="s">
        <v>74</v>
      </c>
      <c r="BH475" t="s">
        <v>74</v>
      </c>
      <c r="BI475" t="s">
        <v>74</v>
      </c>
      <c r="BJ475" t="s">
        <v>855</v>
      </c>
      <c r="BK475" t="s">
        <v>112</v>
      </c>
      <c r="BL475" t="s">
        <v>855</v>
      </c>
      <c r="BM475" t="s">
        <v>74</v>
      </c>
      <c r="BN475">
        <v>33575258</v>
      </c>
      <c r="BO475" t="s">
        <v>74</v>
      </c>
      <c r="BP475" t="s">
        <v>74</v>
      </c>
      <c r="BQ475" t="s">
        <v>74</v>
      </c>
      <c r="BR475" t="s">
        <v>93</v>
      </c>
      <c r="BS475" t="s">
        <v>856</v>
      </c>
      <c r="BT475" t="str">
        <f>HYPERLINK("https%3A%2F%2Fwww.webofscience.com%2Fwos%2Fwoscc%2Ffull-record%2FWOS:000616323300001","View Full Record in Web of Science")</f>
        <v>View Full Record in Web of Science</v>
      </c>
    </row>
    <row r="476" spans="1:72" x14ac:dyDescent="0.15">
      <c r="A476" t="s">
        <v>72</v>
      </c>
      <c r="B476" t="s">
        <v>1082</v>
      </c>
      <c r="C476" t="s">
        <v>74</v>
      </c>
      <c r="D476" t="s">
        <v>74</v>
      </c>
      <c r="E476" t="s">
        <v>74</v>
      </c>
      <c r="F476" t="s">
        <v>1083</v>
      </c>
      <c r="G476" t="s">
        <v>74</v>
      </c>
      <c r="H476" t="s">
        <v>74</v>
      </c>
      <c r="I476" t="s">
        <v>1084</v>
      </c>
      <c r="J476" t="s">
        <v>1085</v>
      </c>
      <c r="K476" t="s">
        <v>74</v>
      </c>
      <c r="L476" t="s">
        <v>74</v>
      </c>
      <c r="M476" t="s">
        <v>74</v>
      </c>
      <c r="N476" t="s">
        <v>78</v>
      </c>
      <c r="O476" t="s">
        <v>74</v>
      </c>
      <c r="P476" t="s">
        <v>74</v>
      </c>
      <c r="Q476" t="s">
        <v>74</v>
      </c>
      <c r="R476" t="s">
        <v>74</v>
      </c>
      <c r="S476" t="s">
        <v>74</v>
      </c>
      <c r="T476" t="s">
        <v>1086</v>
      </c>
      <c r="U476" t="s">
        <v>1087</v>
      </c>
      <c r="V476" t="s">
        <v>1088</v>
      </c>
      <c r="W476" t="s">
        <v>1089</v>
      </c>
      <c r="X476" t="s">
        <v>1090</v>
      </c>
      <c r="Y476" t="s">
        <v>1091</v>
      </c>
      <c r="Z476" t="s">
        <v>1092</v>
      </c>
      <c r="AA476" t="s">
        <v>74</v>
      </c>
      <c r="AB476" t="s">
        <v>1093</v>
      </c>
      <c r="AC476" t="s">
        <v>74</v>
      </c>
      <c r="AD476" t="s">
        <v>74</v>
      </c>
      <c r="AE476" t="s">
        <v>74</v>
      </c>
      <c r="AF476" t="s">
        <v>74</v>
      </c>
      <c r="AG476">
        <v>57</v>
      </c>
      <c r="AH476">
        <v>6</v>
      </c>
      <c r="AI476">
        <v>6</v>
      </c>
      <c r="AJ476">
        <v>4</v>
      </c>
      <c r="AK476">
        <v>7</v>
      </c>
      <c r="AL476" t="s">
        <v>74</v>
      </c>
      <c r="AM476" t="s">
        <v>74</v>
      </c>
      <c r="AN476" t="s">
        <v>74</v>
      </c>
      <c r="AO476" t="s">
        <v>1094</v>
      </c>
      <c r="AP476" t="s">
        <v>74</v>
      </c>
      <c r="AQ476" t="s">
        <v>74</v>
      </c>
      <c r="AR476" t="s">
        <v>74</v>
      </c>
      <c r="AS476" t="s">
        <v>74</v>
      </c>
      <c r="AT476" t="s">
        <v>74</v>
      </c>
      <c r="AU476">
        <v>2021</v>
      </c>
      <c r="AV476">
        <v>11</v>
      </c>
      <c r="AW476">
        <v>15</v>
      </c>
      <c r="AX476" t="s">
        <v>74</v>
      </c>
      <c r="AY476" t="s">
        <v>74</v>
      </c>
      <c r="AZ476" t="s">
        <v>74</v>
      </c>
      <c r="BA476" t="s">
        <v>74</v>
      </c>
      <c r="BB476">
        <v>7144</v>
      </c>
      <c r="BC476">
        <v>7158</v>
      </c>
      <c r="BD476" t="s">
        <v>74</v>
      </c>
      <c r="BE476" t="s">
        <v>1095</v>
      </c>
      <c r="BF476" t="str">
        <f>HYPERLINK("http://dx.doi.org/10.7150/thno.59152","http://dx.doi.org/10.7150/thno.59152")</f>
        <v>http://dx.doi.org/10.7150/thno.59152</v>
      </c>
      <c r="BG476" t="s">
        <v>74</v>
      </c>
      <c r="BH476" t="s">
        <v>74</v>
      </c>
      <c r="BI476" t="s">
        <v>74</v>
      </c>
      <c r="BJ476" t="s">
        <v>506</v>
      </c>
      <c r="BK476" t="s">
        <v>112</v>
      </c>
      <c r="BL476" t="s">
        <v>507</v>
      </c>
      <c r="BM476" t="s">
        <v>74</v>
      </c>
      <c r="BN476">
        <v>34158841</v>
      </c>
      <c r="BO476" t="s">
        <v>74</v>
      </c>
      <c r="BP476" t="s">
        <v>74</v>
      </c>
      <c r="BQ476" t="s">
        <v>74</v>
      </c>
      <c r="BR476" t="s">
        <v>93</v>
      </c>
      <c r="BS476" t="s">
        <v>1096</v>
      </c>
      <c r="BT476" t="str">
        <f>HYPERLINK("https%3A%2F%2Fwww.webofscience.com%2Fwos%2Fwoscc%2Ffull-record%2FWOS:000655136400002","View Full Record in Web of Science")</f>
        <v>View Full Record in Web of Science</v>
      </c>
    </row>
    <row r="477" spans="1:72" x14ac:dyDescent="0.15">
      <c r="A477" t="s">
        <v>72</v>
      </c>
      <c r="B477" t="s">
        <v>1573</v>
      </c>
      <c r="C477" t="s">
        <v>74</v>
      </c>
      <c r="D477" t="s">
        <v>74</v>
      </c>
      <c r="E477" t="s">
        <v>74</v>
      </c>
      <c r="F477" t="s">
        <v>1574</v>
      </c>
      <c r="G477" t="s">
        <v>74</v>
      </c>
      <c r="H477" t="s">
        <v>74</v>
      </c>
      <c r="I477" t="s">
        <v>1575</v>
      </c>
      <c r="J477" t="s">
        <v>1576</v>
      </c>
      <c r="K477" t="s">
        <v>74</v>
      </c>
      <c r="L477" t="s">
        <v>74</v>
      </c>
      <c r="M477" t="s">
        <v>74</v>
      </c>
      <c r="N477" t="s">
        <v>78</v>
      </c>
      <c r="O477" t="s">
        <v>74</v>
      </c>
      <c r="P477" t="s">
        <v>74</v>
      </c>
      <c r="Q477" t="s">
        <v>74</v>
      </c>
      <c r="R477" t="s">
        <v>74</v>
      </c>
      <c r="S477" t="s">
        <v>74</v>
      </c>
      <c r="T477" t="s">
        <v>1577</v>
      </c>
      <c r="U477" t="s">
        <v>1578</v>
      </c>
      <c r="V477" t="s">
        <v>1579</v>
      </c>
      <c r="W477" t="s">
        <v>1580</v>
      </c>
      <c r="X477" t="s">
        <v>1581</v>
      </c>
      <c r="Y477" t="s">
        <v>1582</v>
      </c>
      <c r="Z477" t="s">
        <v>1583</v>
      </c>
      <c r="AA477" t="s">
        <v>1584</v>
      </c>
      <c r="AB477" t="s">
        <v>1585</v>
      </c>
      <c r="AC477" t="s">
        <v>74</v>
      </c>
      <c r="AD477" t="s">
        <v>74</v>
      </c>
      <c r="AE477" t="s">
        <v>74</v>
      </c>
      <c r="AF477" t="s">
        <v>74</v>
      </c>
      <c r="AG477">
        <v>29</v>
      </c>
      <c r="AH477">
        <v>6</v>
      </c>
      <c r="AI477">
        <v>6</v>
      </c>
      <c r="AJ477">
        <v>0</v>
      </c>
      <c r="AK477">
        <v>6</v>
      </c>
      <c r="AL477" t="s">
        <v>74</v>
      </c>
      <c r="AM477" t="s">
        <v>74</v>
      </c>
      <c r="AN477" t="s">
        <v>74</v>
      </c>
      <c r="AO477" t="s">
        <v>74</v>
      </c>
      <c r="AP477" t="s">
        <v>1586</v>
      </c>
      <c r="AQ477" t="s">
        <v>74</v>
      </c>
      <c r="AR477" t="s">
        <v>74</v>
      </c>
      <c r="AS477" t="s">
        <v>74</v>
      </c>
      <c r="AT477" t="s">
        <v>108</v>
      </c>
      <c r="AU477">
        <v>2021</v>
      </c>
      <c r="AV477">
        <v>9</v>
      </c>
      <c r="AW477">
        <v>1</v>
      </c>
      <c r="AX477" t="s">
        <v>74</v>
      </c>
      <c r="AY477" t="s">
        <v>74</v>
      </c>
      <c r="AZ477" t="s">
        <v>74</v>
      </c>
      <c r="BA477" t="s">
        <v>74</v>
      </c>
      <c r="BB477" t="s">
        <v>74</v>
      </c>
      <c r="BC477" t="s">
        <v>74</v>
      </c>
      <c r="BD477">
        <v>14</v>
      </c>
      <c r="BE477" t="s">
        <v>1587</v>
      </c>
      <c r="BF477" t="str">
        <f>HYPERLINK("http://dx.doi.org/10.3390/biomedicines9010014","http://dx.doi.org/10.3390/biomedicines9010014")</f>
        <v>http://dx.doi.org/10.3390/biomedicines9010014</v>
      </c>
      <c r="BG477" t="s">
        <v>74</v>
      </c>
      <c r="BH477" t="s">
        <v>74</v>
      </c>
      <c r="BI477" t="s">
        <v>74</v>
      </c>
      <c r="BJ477" t="s">
        <v>1588</v>
      </c>
      <c r="BK477" t="s">
        <v>112</v>
      </c>
      <c r="BL477" t="s">
        <v>1589</v>
      </c>
      <c r="BM477" t="s">
        <v>74</v>
      </c>
      <c r="BN477">
        <v>33375577</v>
      </c>
      <c r="BO477" t="s">
        <v>74</v>
      </c>
      <c r="BP477" t="s">
        <v>74</v>
      </c>
      <c r="BQ477" t="s">
        <v>74</v>
      </c>
      <c r="BR477" t="s">
        <v>93</v>
      </c>
      <c r="BS477" t="s">
        <v>1590</v>
      </c>
      <c r="BT477" t="str">
        <f>HYPERLINK("https%3A%2F%2Fwww.webofscience.com%2Fwos%2Fwoscc%2Ffull-record%2FWOS:000609829400001","View Full Record in Web of Science")</f>
        <v>View Full Record in Web of Science</v>
      </c>
    </row>
    <row r="478" spans="1:72" x14ac:dyDescent="0.15">
      <c r="A478" t="s">
        <v>72</v>
      </c>
      <c r="B478" t="s">
        <v>1701</v>
      </c>
      <c r="C478" t="s">
        <v>74</v>
      </c>
      <c r="D478" t="s">
        <v>74</v>
      </c>
      <c r="E478" t="s">
        <v>74</v>
      </c>
      <c r="F478" t="s">
        <v>1702</v>
      </c>
      <c r="G478" t="s">
        <v>74</v>
      </c>
      <c r="H478" t="s">
        <v>74</v>
      </c>
      <c r="I478" t="s">
        <v>1703</v>
      </c>
      <c r="J478" t="s">
        <v>1704</v>
      </c>
      <c r="K478" t="s">
        <v>74</v>
      </c>
      <c r="L478" t="s">
        <v>74</v>
      </c>
      <c r="M478" t="s">
        <v>74</v>
      </c>
      <c r="N478" t="s">
        <v>78</v>
      </c>
      <c r="O478" t="s">
        <v>74</v>
      </c>
      <c r="P478" t="s">
        <v>74</v>
      </c>
      <c r="Q478" t="s">
        <v>74</v>
      </c>
      <c r="R478" t="s">
        <v>74</v>
      </c>
      <c r="S478" t="s">
        <v>74</v>
      </c>
      <c r="T478" t="s">
        <v>1705</v>
      </c>
      <c r="U478" t="s">
        <v>1706</v>
      </c>
      <c r="V478" t="s">
        <v>1707</v>
      </c>
      <c r="W478" t="s">
        <v>1708</v>
      </c>
      <c r="X478" t="s">
        <v>1709</v>
      </c>
      <c r="Y478" t="s">
        <v>1710</v>
      </c>
      <c r="Z478" t="s">
        <v>1711</v>
      </c>
      <c r="AA478" t="s">
        <v>74</v>
      </c>
      <c r="AB478" t="s">
        <v>74</v>
      </c>
      <c r="AC478" t="s">
        <v>74</v>
      </c>
      <c r="AD478" t="s">
        <v>74</v>
      </c>
      <c r="AE478" t="s">
        <v>74</v>
      </c>
      <c r="AF478" t="s">
        <v>74</v>
      </c>
      <c r="AG478">
        <v>50</v>
      </c>
      <c r="AH478">
        <v>6</v>
      </c>
      <c r="AI478">
        <v>7</v>
      </c>
      <c r="AJ478">
        <v>2</v>
      </c>
      <c r="AK478">
        <v>14</v>
      </c>
      <c r="AL478" t="s">
        <v>74</v>
      </c>
      <c r="AM478" t="s">
        <v>74</v>
      </c>
      <c r="AN478" t="s">
        <v>74</v>
      </c>
      <c r="AO478" t="s">
        <v>74</v>
      </c>
      <c r="AP478" t="s">
        <v>1712</v>
      </c>
      <c r="AQ478" t="s">
        <v>74</v>
      </c>
      <c r="AR478" t="s">
        <v>74</v>
      </c>
      <c r="AS478" t="s">
        <v>74</v>
      </c>
      <c r="AT478" t="s">
        <v>129</v>
      </c>
      <c r="AU478">
        <v>2021</v>
      </c>
      <c r="AV478">
        <v>13</v>
      </c>
      <c r="AW478">
        <v>4</v>
      </c>
      <c r="AX478" t="s">
        <v>74</v>
      </c>
      <c r="AY478" t="s">
        <v>74</v>
      </c>
      <c r="AZ478" t="s">
        <v>74</v>
      </c>
      <c r="BA478" t="s">
        <v>74</v>
      </c>
      <c r="BB478" t="s">
        <v>74</v>
      </c>
      <c r="BC478" t="s">
        <v>74</v>
      </c>
      <c r="BD478">
        <v>1368</v>
      </c>
      <c r="BE478" t="s">
        <v>1713</v>
      </c>
      <c r="BF478" t="str">
        <f>HYPERLINK("http://dx.doi.org/10.3390/nu13041368","http://dx.doi.org/10.3390/nu13041368")</f>
        <v>http://dx.doi.org/10.3390/nu13041368</v>
      </c>
      <c r="BG478" t="s">
        <v>74</v>
      </c>
      <c r="BH478" t="s">
        <v>74</v>
      </c>
      <c r="BI478" t="s">
        <v>74</v>
      </c>
      <c r="BJ478" t="s">
        <v>1714</v>
      </c>
      <c r="BK478" t="s">
        <v>112</v>
      </c>
      <c r="BL478" t="s">
        <v>1714</v>
      </c>
      <c r="BM478" t="s">
        <v>74</v>
      </c>
      <c r="BN478">
        <v>33921829</v>
      </c>
      <c r="BO478" t="s">
        <v>74</v>
      </c>
      <c r="BP478" t="s">
        <v>74</v>
      </c>
      <c r="BQ478" t="s">
        <v>74</v>
      </c>
      <c r="BR478" t="s">
        <v>93</v>
      </c>
      <c r="BS478" t="s">
        <v>1715</v>
      </c>
      <c r="BT478" t="str">
        <f>HYPERLINK("https%3A%2F%2Fwww.webofscience.com%2Fwos%2Fwoscc%2Ffull-record%2FWOS:000643355700001","View Full Record in Web of Science")</f>
        <v>View Full Record in Web of Science</v>
      </c>
    </row>
    <row r="479" spans="1:72" x14ac:dyDescent="0.15">
      <c r="A479" t="s">
        <v>72</v>
      </c>
      <c r="B479" t="s">
        <v>1868</v>
      </c>
      <c r="C479" t="s">
        <v>74</v>
      </c>
      <c r="D479" t="s">
        <v>74</v>
      </c>
      <c r="E479" t="s">
        <v>74</v>
      </c>
      <c r="F479" t="s">
        <v>1869</v>
      </c>
      <c r="G479" t="s">
        <v>74</v>
      </c>
      <c r="H479" t="s">
        <v>74</v>
      </c>
      <c r="I479" t="s">
        <v>1870</v>
      </c>
      <c r="J479" t="s">
        <v>1871</v>
      </c>
      <c r="K479" t="s">
        <v>74</v>
      </c>
      <c r="L479" t="s">
        <v>74</v>
      </c>
      <c r="M479" t="s">
        <v>74</v>
      </c>
      <c r="N479" t="s">
        <v>78</v>
      </c>
      <c r="O479" t="s">
        <v>74</v>
      </c>
      <c r="P479" t="s">
        <v>74</v>
      </c>
      <c r="Q479" t="s">
        <v>74</v>
      </c>
      <c r="R479" t="s">
        <v>74</v>
      </c>
      <c r="S479" t="s">
        <v>74</v>
      </c>
      <c r="T479" t="s">
        <v>1872</v>
      </c>
      <c r="U479" t="s">
        <v>1873</v>
      </c>
      <c r="V479" t="s">
        <v>1874</v>
      </c>
      <c r="W479" t="s">
        <v>1875</v>
      </c>
      <c r="X479" t="s">
        <v>1876</v>
      </c>
      <c r="Y479" t="s">
        <v>1877</v>
      </c>
      <c r="Z479" t="s">
        <v>1878</v>
      </c>
      <c r="AA479" t="s">
        <v>1879</v>
      </c>
      <c r="AB479" t="s">
        <v>1880</v>
      </c>
      <c r="AC479" t="s">
        <v>74</v>
      </c>
      <c r="AD479" t="s">
        <v>74</v>
      </c>
      <c r="AE479" t="s">
        <v>74</v>
      </c>
      <c r="AF479" t="s">
        <v>74</v>
      </c>
      <c r="AG479">
        <v>72</v>
      </c>
      <c r="AH479">
        <v>6</v>
      </c>
      <c r="AI479">
        <v>6</v>
      </c>
      <c r="AJ479">
        <v>0</v>
      </c>
      <c r="AK479">
        <v>13</v>
      </c>
      <c r="AL479" t="s">
        <v>74</v>
      </c>
      <c r="AM479" t="s">
        <v>74</v>
      </c>
      <c r="AN479" t="s">
        <v>74</v>
      </c>
      <c r="AO479" t="s">
        <v>74</v>
      </c>
      <c r="AP479" t="s">
        <v>1881</v>
      </c>
      <c r="AQ479" t="s">
        <v>74</v>
      </c>
      <c r="AR479" t="s">
        <v>74</v>
      </c>
      <c r="AS479" t="s">
        <v>74</v>
      </c>
      <c r="AT479" t="s">
        <v>437</v>
      </c>
      <c r="AU479">
        <v>2019</v>
      </c>
      <c r="AV479">
        <v>11</v>
      </c>
      <c r="AW479">
        <v>10</v>
      </c>
      <c r="AX479" t="s">
        <v>74</v>
      </c>
      <c r="AY479" t="s">
        <v>74</v>
      </c>
      <c r="AZ479" t="s">
        <v>74</v>
      </c>
      <c r="BA479" t="s">
        <v>74</v>
      </c>
      <c r="BB479" t="s">
        <v>74</v>
      </c>
      <c r="BC479" t="s">
        <v>74</v>
      </c>
      <c r="BD479">
        <v>882</v>
      </c>
      <c r="BE479" t="s">
        <v>1882</v>
      </c>
      <c r="BF479" t="str">
        <f>HYPERLINK("http://dx.doi.org/10.3390/v11100882","http://dx.doi.org/10.3390/v11100882")</f>
        <v>http://dx.doi.org/10.3390/v11100882</v>
      </c>
      <c r="BG479" t="s">
        <v>74</v>
      </c>
      <c r="BH479" t="s">
        <v>74</v>
      </c>
      <c r="BI479" t="s">
        <v>74</v>
      </c>
      <c r="BJ479" t="s">
        <v>401</v>
      </c>
      <c r="BK479" t="s">
        <v>112</v>
      </c>
      <c r="BL479" t="s">
        <v>401</v>
      </c>
      <c r="BM479" t="s">
        <v>74</v>
      </c>
      <c r="BN479">
        <v>31547130</v>
      </c>
      <c r="BO479" t="s">
        <v>74</v>
      </c>
      <c r="BP479" t="s">
        <v>74</v>
      </c>
      <c r="BQ479" t="s">
        <v>74</v>
      </c>
      <c r="BR479" t="s">
        <v>93</v>
      </c>
      <c r="BS479" t="s">
        <v>1883</v>
      </c>
      <c r="BT479" t="str">
        <f>HYPERLINK("https%3A%2F%2Fwww.webofscience.com%2Fwos%2Fwoscc%2Ffull-record%2FWOS:000498400400003","View Full Record in Web of Science")</f>
        <v>View Full Record in Web of Science</v>
      </c>
    </row>
    <row r="480" spans="1:72" x14ac:dyDescent="0.15">
      <c r="A480" t="s">
        <v>72</v>
      </c>
      <c r="B480" t="s">
        <v>4319</v>
      </c>
      <c r="C480" t="s">
        <v>74</v>
      </c>
      <c r="D480" t="s">
        <v>74</v>
      </c>
      <c r="E480" t="s">
        <v>74</v>
      </c>
      <c r="F480" t="s">
        <v>4320</v>
      </c>
      <c r="G480" t="s">
        <v>74</v>
      </c>
      <c r="H480" t="s">
        <v>74</v>
      </c>
      <c r="I480" t="s">
        <v>4321</v>
      </c>
      <c r="J480" t="s">
        <v>4322</v>
      </c>
      <c r="K480" t="s">
        <v>74</v>
      </c>
      <c r="L480" t="s">
        <v>74</v>
      </c>
      <c r="M480" t="s">
        <v>74</v>
      </c>
      <c r="N480" t="s">
        <v>78</v>
      </c>
      <c r="O480" t="s">
        <v>74</v>
      </c>
      <c r="P480" t="s">
        <v>74</v>
      </c>
      <c r="Q480" t="s">
        <v>74</v>
      </c>
      <c r="R480" t="s">
        <v>74</v>
      </c>
      <c r="S480" t="s">
        <v>74</v>
      </c>
      <c r="T480" t="s">
        <v>4323</v>
      </c>
      <c r="U480" t="s">
        <v>4324</v>
      </c>
      <c r="V480" t="s">
        <v>4325</v>
      </c>
      <c r="W480" t="s">
        <v>4326</v>
      </c>
      <c r="X480" t="s">
        <v>4327</v>
      </c>
      <c r="Y480" t="s">
        <v>4328</v>
      </c>
      <c r="Z480" t="s">
        <v>4329</v>
      </c>
      <c r="AA480" t="s">
        <v>4330</v>
      </c>
      <c r="AB480" t="s">
        <v>4331</v>
      </c>
      <c r="AC480" t="s">
        <v>74</v>
      </c>
      <c r="AD480" t="s">
        <v>74</v>
      </c>
      <c r="AE480" t="s">
        <v>74</v>
      </c>
      <c r="AF480" t="s">
        <v>74</v>
      </c>
      <c r="AG480">
        <v>54</v>
      </c>
      <c r="AH480">
        <v>6</v>
      </c>
      <c r="AI480">
        <v>6</v>
      </c>
      <c r="AJ480">
        <v>0</v>
      </c>
      <c r="AK480">
        <v>2</v>
      </c>
      <c r="AL480" t="s">
        <v>74</v>
      </c>
      <c r="AM480" t="s">
        <v>74</v>
      </c>
      <c r="AN480" t="s">
        <v>74</v>
      </c>
      <c r="AO480" t="s">
        <v>4332</v>
      </c>
      <c r="AP480" t="s">
        <v>4333</v>
      </c>
      <c r="AQ480" t="s">
        <v>74</v>
      </c>
      <c r="AR480" t="s">
        <v>74</v>
      </c>
      <c r="AS480" t="s">
        <v>74</v>
      </c>
      <c r="AT480" t="s">
        <v>88</v>
      </c>
      <c r="AU480">
        <v>2021</v>
      </c>
      <c r="AV480">
        <v>23</v>
      </c>
      <c r="AW480">
        <v>6</v>
      </c>
      <c r="AX480" t="s">
        <v>74</v>
      </c>
      <c r="AY480" t="s">
        <v>74</v>
      </c>
      <c r="AZ480" t="s">
        <v>74</v>
      </c>
      <c r="BA480" t="s">
        <v>74</v>
      </c>
      <c r="BB480">
        <v>1152</v>
      </c>
      <c r="BC480">
        <v>1166</v>
      </c>
      <c r="BD480" t="s">
        <v>74</v>
      </c>
      <c r="BE480" t="s">
        <v>4334</v>
      </c>
      <c r="BF480" t="str">
        <f>HYPERLINK("http://dx.doi.org/10.1007/s12094-020-02504-6","http://dx.doi.org/10.1007/s12094-020-02504-6")</f>
        <v>http://dx.doi.org/10.1007/s12094-020-02504-6</v>
      </c>
      <c r="BG480" t="s">
        <v>74</v>
      </c>
      <c r="BH480" t="s">
        <v>2718</v>
      </c>
      <c r="BI480" t="s">
        <v>74</v>
      </c>
      <c r="BJ480" t="s">
        <v>146</v>
      </c>
      <c r="BK480" t="s">
        <v>112</v>
      </c>
      <c r="BL480" t="s">
        <v>146</v>
      </c>
      <c r="BM480" t="s">
        <v>74</v>
      </c>
      <c r="BN480">
        <v>33226554</v>
      </c>
      <c r="BO480" t="s">
        <v>74</v>
      </c>
      <c r="BP480" t="s">
        <v>74</v>
      </c>
      <c r="BQ480" t="s">
        <v>74</v>
      </c>
      <c r="BR480" t="s">
        <v>93</v>
      </c>
      <c r="BS480" t="s">
        <v>4335</v>
      </c>
      <c r="BT480" t="str">
        <f>HYPERLINK("https%3A%2F%2Fwww.webofscience.com%2Fwos%2Fwoscc%2Ffull-record%2FWOS:000591970200001","View Full Record in Web of Science")</f>
        <v>View Full Record in Web of Science</v>
      </c>
    </row>
    <row r="481" spans="1:72" x14ac:dyDescent="0.15">
      <c r="A481" t="s">
        <v>72</v>
      </c>
      <c r="B481" t="s">
        <v>4618</v>
      </c>
      <c r="C481" t="s">
        <v>74</v>
      </c>
      <c r="D481" t="s">
        <v>74</v>
      </c>
      <c r="E481" t="s">
        <v>74</v>
      </c>
      <c r="F481" t="s">
        <v>4619</v>
      </c>
      <c r="G481" t="s">
        <v>74</v>
      </c>
      <c r="H481" t="s">
        <v>74</v>
      </c>
      <c r="I481" t="s">
        <v>4620</v>
      </c>
      <c r="J481" t="s">
        <v>4401</v>
      </c>
      <c r="K481" t="s">
        <v>74</v>
      </c>
      <c r="L481" t="s">
        <v>74</v>
      </c>
      <c r="M481" t="s">
        <v>74</v>
      </c>
      <c r="N481" t="s">
        <v>78</v>
      </c>
      <c r="O481" t="s">
        <v>74</v>
      </c>
      <c r="P481" t="s">
        <v>74</v>
      </c>
      <c r="Q481" t="s">
        <v>74</v>
      </c>
      <c r="R481" t="s">
        <v>74</v>
      </c>
      <c r="S481" t="s">
        <v>74</v>
      </c>
      <c r="T481" t="s">
        <v>4621</v>
      </c>
      <c r="U481" t="s">
        <v>4622</v>
      </c>
      <c r="V481" t="s">
        <v>4623</v>
      </c>
      <c r="W481" t="s">
        <v>4624</v>
      </c>
      <c r="X481" t="s">
        <v>4625</v>
      </c>
      <c r="Y481" t="s">
        <v>4626</v>
      </c>
      <c r="Z481" t="s">
        <v>4627</v>
      </c>
      <c r="AA481" t="s">
        <v>4628</v>
      </c>
      <c r="AB481" t="s">
        <v>4629</v>
      </c>
      <c r="AC481" t="s">
        <v>74</v>
      </c>
      <c r="AD481" t="s">
        <v>74</v>
      </c>
      <c r="AE481" t="s">
        <v>74</v>
      </c>
      <c r="AF481" t="s">
        <v>74</v>
      </c>
      <c r="AG481">
        <v>85</v>
      </c>
      <c r="AH481">
        <v>6</v>
      </c>
      <c r="AI481">
        <v>6</v>
      </c>
      <c r="AJ481">
        <v>2</v>
      </c>
      <c r="AK481">
        <v>9</v>
      </c>
      <c r="AL481" t="s">
        <v>74</v>
      </c>
      <c r="AM481" t="s">
        <v>74</v>
      </c>
      <c r="AN481" t="s">
        <v>74</v>
      </c>
      <c r="AO481" t="s">
        <v>4411</v>
      </c>
      <c r="AP481" t="s">
        <v>4412</v>
      </c>
      <c r="AQ481" t="s">
        <v>74</v>
      </c>
      <c r="AR481" t="s">
        <v>74</v>
      </c>
      <c r="AS481" t="s">
        <v>74</v>
      </c>
      <c r="AT481" t="s">
        <v>1020</v>
      </c>
      <c r="AU481">
        <v>2020</v>
      </c>
      <c r="AV481">
        <v>313</v>
      </c>
      <c r="AW481" t="s">
        <v>74</v>
      </c>
      <c r="AX481" t="s">
        <v>74</v>
      </c>
      <c r="AY481" t="s">
        <v>74</v>
      </c>
      <c r="AZ481" t="s">
        <v>74</v>
      </c>
      <c r="BA481" t="s">
        <v>74</v>
      </c>
      <c r="BB481">
        <v>48</v>
      </c>
      <c r="BC481">
        <v>56</v>
      </c>
      <c r="BD481" t="s">
        <v>74</v>
      </c>
      <c r="BE481" t="s">
        <v>4630</v>
      </c>
      <c r="BF481" t="str">
        <f>HYPERLINK("http://dx.doi.org/10.1016/j.jbiotec.2020.03.002","http://dx.doi.org/10.1016/j.jbiotec.2020.03.002")</f>
        <v>http://dx.doi.org/10.1016/j.jbiotec.2020.03.002</v>
      </c>
      <c r="BG481" t="s">
        <v>74</v>
      </c>
      <c r="BH481" t="s">
        <v>74</v>
      </c>
      <c r="BI481" t="s">
        <v>74</v>
      </c>
      <c r="BJ481" t="s">
        <v>4415</v>
      </c>
      <c r="BK481" t="s">
        <v>112</v>
      </c>
      <c r="BL481" t="s">
        <v>4415</v>
      </c>
      <c r="BM481" t="s">
        <v>74</v>
      </c>
      <c r="BN481">
        <v>32165241</v>
      </c>
      <c r="BO481" t="s">
        <v>74</v>
      </c>
      <c r="BP481" t="s">
        <v>74</v>
      </c>
      <c r="BQ481" t="s">
        <v>74</v>
      </c>
      <c r="BR481" t="s">
        <v>93</v>
      </c>
      <c r="BS481" t="s">
        <v>4631</v>
      </c>
      <c r="BT481" t="str">
        <f>HYPERLINK("https%3A%2F%2Fwww.webofscience.com%2Fwos%2Fwoscc%2Ffull-record%2FWOS:000522793800006","View Full Record in Web of Science")</f>
        <v>View Full Record in Web of Science</v>
      </c>
    </row>
    <row r="482" spans="1:72" x14ac:dyDescent="0.15">
      <c r="A482" t="s">
        <v>312</v>
      </c>
      <c r="B482" t="s">
        <v>2337</v>
      </c>
      <c r="C482" t="s">
        <v>74</v>
      </c>
      <c r="D482" t="s">
        <v>2338</v>
      </c>
      <c r="E482" t="s">
        <v>74</v>
      </c>
      <c r="F482" t="s">
        <v>2339</v>
      </c>
      <c r="G482" t="s">
        <v>74</v>
      </c>
      <c r="H482" t="s">
        <v>74</v>
      </c>
      <c r="I482" t="s">
        <v>4990</v>
      </c>
      <c r="J482" t="s">
        <v>4991</v>
      </c>
      <c r="K482" t="s">
        <v>318</v>
      </c>
      <c r="L482" t="s">
        <v>74</v>
      </c>
      <c r="M482" t="s">
        <v>74</v>
      </c>
      <c r="N482" t="s">
        <v>319</v>
      </c>
      <c r="O482" t="s">
        <v>74</v>
      </c>
      <c r="P482" t="s">
        <v>74</v>
      </c>
      <c r="Q482" t="s">
        <v>74</v>
      </c>
      <c r="R482" t="s">
        <v>74</v>
      </c>
      <c r="S482" t="s">
        <v>74</v>
      </c>
      <c r="T482" t="s">
        <v>2342</v>
      </c>
      <c r="U482" t="s">
        <v>4992</v>
      </c>
      <c r="V482" t="s">
        <v>4993</v>
      </c>
      <c r="W482" t="s">
        <v>4994</v>
      </c>
      <c r="X482" t="s">
        <v>2346</v>
      </c>
      <c r="Y482" t="s">
        <v>4995</v>
      </c>
      <c r="Z482" t="s">
        <v>74</v>
      </c>
      <c r="AA482" t="s">
        <v>2348</v>
      </c>
      <c r="AB482" t="s">
        <v>2349</v>
      </c>
      <c r="AC482" t="s">
        <v>74</v>
      </c>
      <c r="AD482" t="s">
        <v>74</v>
      </c>
      <c r="AE482" t="s">
        <v>74</v>
      </c>
      <c r="AF482" t="s">
        <v>74</v>
      </c>
      <c r="AG482">
        <v>14</v>
      </c>
      <c r="AH482">
        <v>6</v>
      </c>
      <c r="AI482">
        <v>6</v>
      </c>
      <c r="AJ482">
        <v>0</v>
      </c>
      <c r="AK482">
        <v>7</v>
      </c>
      <c r="AL482" t="s">
        <v>74</v>
      </c>
      <c r="AM482" t="s">
        <v>74</v>
      </c>
      <c r="AN482" t="s">
        <v>74</v>
      </c>
      <c r="AO482" t="s">
        <v>328</v>
      </c>
      <c r="AP482" t="s">
        <v>329</v>
      </c>
      <c r="AQ482" t="s">
        <v>4996</v>
      </c>
      <c r="AR482" t="s">
        <v>74</v>
      </c>
      <c r="AS482" t="s">
        <v>74</v>
      </c>
      <c r="AT482" t="s">
        <v>74</v>
      </c>
      <c r="AU482">
        <v>2018</v>
      </c>
      <c r="AV482">
        <v>1756</v>
      </c>
      <c r="AW482" t="s">
        <v>74</v>
      </c>
      <c r="AX482" t="s">
        <v>74</v>
      </c>
      <c r="AY482" t="s">
        <v>74</v>
      </c>
      <c r="AZ482" t="s">
        <v>74</v>
      </c>
      <c r="BA482" t="s">
        <v>74</v>
      </c>
      <c r="BB482">
        <v>187</v>
      </c>
      <c r="BC482">
        <v>194</v>
      </c>
      <c r="BD482" t="s">
        <v>74</v>
      </c>
      <c r="BE482" t="s">
        <v>4997</v>
      </c>
      <c r="BF482" t="str">
        <f>HYPERLINK("http://dx.doi.org/10.1007/978-1-4939-7734-5_17","http://dx.doi.org/10.1007/978-1-4939-7734-5_17")</f>
        <v>http://dx.doi.org/10.1007/978-1-4939-7734-5_17</v>
      </c>
      <c r="BG482" t="s">
        <v>4998</v>
      </c>
      <c r="BH482" t="s">
        <v>74</v>
      </c>
      <c r="BI482" t="s">
        <v>74</v>
      </c>
      <c r="BJ482" t="s">
        <v>4999</v>
      </c>
      <c r="BK482" t="s">
        <v>334</v>
      </c>
      <c r="BL482" t="s">
        <v>5000</v>
      </c>
      <c r="BM482" t="s">
        <v>74</v>
      </c>
      <c r="BN482">
        <v>29600371</v>
      </c>
      <c r="BO482" t="s">
        <v>74</v>
      </c>
      <c r="BP482" t="s">
        <v>74</v>
      </c>
      <c r="BQ482" t="s">
        <v>74</v>
      </c>
      <c r="BR482" t="s">
        <v>93</v>
      </c>
      <c r="BS482" t="s">
        <v>5001</v>
      </c>
      <c r="BT482" t="str">
        <f>HYPERLINK("https%3A%2F%2Fwww.webofscience.com%2Fwos%2Fwoscc%2Ffull-record%2FWOS:000685158800018","View Full Record in Web of Science")</f>
        <v>View Full Record in Web of Science</v>
      </c>
    </row>
    <row r="483" spans="1:72" x14ac:dyDescent="0.15">
      <c r="A483" t="s">
        <v>72</v>
      </c>
      <c r="B483" t="s">
        <v>5317</v>
      </c>
      <c r="C483" t="s">
        <v>74</v>
      </c>
      <c r="D483" t="s">
        <v>74</v>
      </c>
      <c r="E483" t="s">
        <v>74</v>
      </c>
      <c r="F483" t="s">
        <v>5318</v>
      </c>
      <c r="G483" t="s">
        <v>74</v>
      </c>
      <c r="H483" t="s">
        <v>74</v>
      </c>
      <c r="I483" t="s">
        <v>5319</v>
      </c>
      <c r="J483" t="s">
        <v>5320</v>
      </c>
      <c r="K483" t="s">
        <v>74</v>
      </c>
      <c r="L483" t="s">
        <v>74</v>
      </c>
      <c r="M483" t="s">
        <v>74</v>
      </c>
      <c r="N483" t="s">
        <v>752</v>
      </c>
      <c r="O483" t="s">
        <v>5321</v>
      </c>
      <c r="P483" t="s">
        <v>5322</v>
      </c>
      <c r="Q483" t="s">
        <v>5323</v>
      </c>
      <c r="R483" t="s">
        <v>74</v>
      </c>
      <c r="S483" t="s">
        <v>74</v>
      </c>
      <c r="T483" t="s">
        <v>5324</v>
      </c>
      <c r="U483" t="s">
        <v>5325</v>
      </c>
      <c r="V483" t="s">
        <v>5326</v>
      </c>
      <c r="W483" t="s">
        <v>5327</v>
      </c>
      <c r="X483" t="s">
        <v>5328</v>
      </c>
      <c r="Y483" t="s">
        <v>5329</v>
      </c>
      <c r="Z483" t="s">
        <v>5330</v>
      </c>
      <c r="AA483" t="s">
        <v>5331</v>
      </c>
      <c r="AB483" t="s">
        <v>5332</v>
      </c>
      <c r="AC483" t="s">
        <v>74</v>
      </c>
      <c r="AD483" t="s">
        <v>74</v>
      </c>
      <c r="AE483" t="s">
        <v>74</v>
      </c>
      <c r="AF483" t="s">
        <v>74</v>
      </c>
      <c r="AG483">
        <v>98</v>
      </c>
      <c r="AH483">
        <v>6</v>
      </c>
      <c r="AI483">
        <v>6</v>
      </c>
      <c r="AJ483">
        <v>1</v>
      </c>
      <c r="AK483">
        <v>7</v>
      </c>
      <c r="AL483" t="s">
        <v>74</v>
      </c>
      <c r="AM483" t="s">
        <v>74</v>
      </c>
      <c r="AN483" t="s">
        <v>74</v>
      </c>
      <c r="AO483" t="s">
        <v>5333</v>
      </c>
      <c r="AP483" t="s">
        <v>5334</v>
      </c>
      <c r="AQ483" t="s">
        <v>74</v>
      </c>
      <c r="AR483" t="s">
        <v>74</v>
      </c>
      <c r="AS483" t="s">
        <v>74</v>
      </c>
      <c r="AT483" t="s">
        <v>74</v>
      </c>
      <c r="AU483">
        <v>2020</v>
      </c>
      <c r="AV483">
        <v>60</v>
      </c>
      <c r="AW483">
        <v>1</v>
      </c>
      <c r="AX483" t="s">
        <v>74</v>
      </c>
      <c r="AY483" t="s">
        <v>74</v>
      </c>
      <c r="AZ483" t="s">
        <v>74</v>
      </c>
      <c r="BA483" t="s">
        <v>74</v>
      </c>
      <c r="BB483">
        <v>1</v>
      </c>
      <c r="BC483">
        <v>9</v>
      </c>
      <c r="BD483" t="s">
        <v>74</v>
      </c>
      <c r="BE483" t="s">
        <v>5335</v>
      </c>
      <c r="BF483" t="str">
        <f>HYPERLINK("http://dx.doi.org/10.1071/AN18579","http://dx.doi.org/10.1071/AN18579")</f>
        <v>http://dx.doi.org/10.1071/AN18579</v>
      </c>
      <c r="BG483" t="s">
        <v>74</v>
      </c>
      <c r="BH483" t="s">
        <v>74</v>
      </c>
      <c r="BI483" t="s">
        <v>74</v>
      </c>
      <c r="BJ483" t="s">
        <v>5336</v>
      </c>
      <c r="BK483" t="s">
        <v>1408</v>
      </c>
      <c r="BL483" t="s">
        <v>5337</v>
      </c>
      <c r="BM483" t="s">
        <v>74</v>
      </c>
      <c r="BN483" t="s">
        <v>74</v>
      </c>
      <c r="BO483" t="s">
        <v>74</v>
      </c>
      <c r="BP483" t="s">
        <v>74</v>
      </c>
      <c r="BQ483" t="s">
        <v>74</v>
      </c>
      <c r="BR483" t="s">
        <v>93</v>
      </c>
      <c r="BS483" t="s">
        <v>5338</v>
      </c>
      <c r="BT483" t="str">
        <f>HYPERLINK("https%3A%2F%2Fwww.webofscience.com%2Fwos%2Fwoscc%2Ffull-record%2FWOS:000505620500002","View Full Record in Web of Science")</f>
        <v>View Full Record in Web of Science</v>
      </c>
    </row>
    <row r="484" spans="1:72" x14ac:dyDescent="0.15">
      <c r="A484" t="s">
        <v>72</v>
      </c>
      <c r="B484" t="s">
        <v>5918</v>
      </c>
      <c r="C484" t="s">
        <v>74</v>
      </c>
      <c r="D484" t="s">
        <v>74</v>
      </c>
      <c r="E484" t="s">
        <v>74</v>
      </c>
      <c r="F484" t="s">
        <v>5919</v>
      </c>
      <c r="G484" t="s">
        <v>74</v>
      </c>
      <c r="H484" t="s">
        <v>74</v>
      </c>
      <c r="I484" t="s">
        <v>5920</v>
      </c>
      <c r="J484" t="s">
        <v>5921</v>
      </c>
      <c r="K484" t="s">
        <v>74</v>
      </c>
      <c r="L484" t="s">
        <v>74</v>
      </c>
      <c r="M484" t="s">
        <v>74</v>
      </c>
      <c r="N484" t="s">
        <v>78</v>
      </c>
      <c r="O484" t="s">
        <v>74</v>
      </c>
      <c r="P484" t="s">
        <v>74</v>
      </c>
      <c r="Q484" t="s">
        <v>74</v>
      </c>
      <c r="R484" t="s">
        <v>74</v>
      </c>
      <c r="S484" t="s">
        <v>74</v>
      </c>
      <c r="T484" t="s">
        <v>5922</v>
      </c>
      <c r="U484" t="s">
        <v>74</v>
      </c>
      <c r="V484" t="s">
        <v>5923</v>
      </c>
      <c r="W484" t="s">
        <v>5924</v>
      </c>
      <c r="X484" t="s">
        <v>5925</v>
      </c>
      <c r="Y484" t="s">
        <v>5926</v>
      </c>
      <c r="Z484" t="s">
        <v>5927</v>
      </c>
      <c r="AA484" t="s">
        <v>5928</v>
      </c>
      <c r="AB484" t="s">
        <v>5929</v>
      </c>
      <c r="AC484" t="s">
        <v>74</v>
      </c>
      <c r="AD484" t="s">
        <v>74</v>
      </c>
      <c r="AE484" t="s">
        <v>74</v>
      </c>
      <c r="AF484" t="s">
        <v>74</v>
      </c>
      <c r="AG484">
        <v>24</v>
      </c>
      <c r="AH484">
        <v>6</v>
      </c>
      <c r="AI484">
        <v>7</v>
      </c>
      <c r="AJ484">
        <v>6</v>
      </c>
      <c r="AK484">
        <v>26</v>
      </c>
      <c r="AL484" t="s">
        <v>74</v>
      </c>
      <c r="AM484" t="s">
        <v>74</v>
      </c>
      <c r="AN484" t="s">
        <v>74</v>
      </c>
      <c r="AO484" t="s">
        <v>5930</v>
      </c>
      <c r="AP484" t="s">
        <v>5931</v>
      </c>
      <c r="AQ484" t="s">
        <v>74</v>
      </c>
      <c r="AR484" t="s">
        <v>74</v>
      </c>
      <c r="AS484" t="s">
        <v>74</v>
      </c>
      <c r="AT484" t="s">
        <v>5848</v>
      </c>
      <c r="AU484">
        <v>2020</v>
      </c>
      <c r="AV484">
        <v>256</v>
      </c>
      <c r="AW484" t="s">
        <v>74</v>
      </c>
      <c r="AX484" t="s">
        <v>74</v>
      </c>
      <c r="AY484" t="s">
        <v>74</v>
      </c>
      <c r="AZ484" t="s">
        <v>74</v>
      </c>
      <c r="BA484" t="s">
        <v>74</v>
      </c>
      <c r="BB484" t="s">
        <v>74</v>
      </c>
      <c r="BC484" t="s">
        <v>74</v>
      </c>
      <c r="BD484">
        <v>112802</v>
      </c>
      <c r="BE484" t="s">
        <v>5932</v>
      </c>
      <c r="BF484" t="str">
        <f>HYPERLINK("http://dx.doi.org/10.1016/j.jep.2020.112802","http://dx.doi.org/10.1016/j.jep.2020.112802")</f>
        <v>http://dx.doi.org/10.1016/j.jep.2020.112802</v>
      </c>
      <c r="BG484" t="s">
        <v>74</v>
      </c>
      <c r="BH484" t="s">
        <v>74</v>
      </c>
      <c r="BI484" t="s">
        <v>74</v>
      </c>
      <c r="BJ484" t="s">
        <v>5933</v>
      </c>
      <c r="BK484" t="s">
        <v>112</v>
      </c>
      <c r="BL484" t="s">
        <v>5934</v>
      </c>
      <c r="BM484" t="s">
        <v>74</v>
      </c>
      <c r="BN484">
        <v>32240782</v>
      </c>
      <c r="BO484" t="s">
        <v>74</v>
      </c>
      <c r="BP484" t="s">
        <v>74</v>
      </c>
      <c r="BQ484" t="s">
        <v>74</v>
      </c>
      <c r="BR484" t="s">
        <v>93</v>
      </c>
      <c r="BS484" t="s">
        <v>5935</v>
      </c>
      <c r="BT484" t="str">
        <f>HYPERLINK("https%3A%2F%2Fwww.webofscience.com%2Fwos%2Fwoscc%2Ffull-record%2FWOS:000528279300018","View Full Record in Web of Science")</f>
        <v>View Full Record in Web of Science</v>
      </c>
    </row>
    <row r="485" spans="1:72" x14ac:dyDescent="0.15">
      <c r="A485" t="s">
        <v>72</v>
      </c>
      <c r="B485" t="s">
        <v>6640</v>
      </c>
      <c r="C485" t="s">
        <v>74</v>
      </c>
      <c r="D485" t="s">
        <v>74</v>
      </c>
      <c r="E485" t="s">
        <v>74</v>
      </c>
      <c r="F485" t="s">
        <v>6641</v>
      </c>
      <c r="G485" t="s">
        <v>74</v>
      </c>
      <c r="H485" t="s">
        <v>74</v>
      </c>
      <c r="I485" t="s">
        <v>6642</v>
      </c>
      <c r="J485" t="s">
        <v>667</v>
      </c>
      <c r="K485" t="s">
        <v>74</v>
      </c>
      <c r="L485" t="s">
        <v>74</v>
      </c>
      <c r="M485" t="s">
        <v>74</v>
      </c>
      <c r="N485" t="s">
        <v>78</v>
      </c>
      <c r="O485" t="s">
        <v>74</v>
      </c>
      <c r="P485" t="s">
        <v>74</v>
      </c>
      <c r="Q485" t="s">
        <v>74</v>
      </c>
      <c r="R485" t="s">
        <v>74</v>
      </c>
      <c r="S485" t="s">
        <v>74</v>
      </c>
      <c r="T485" t="s">
        <v>6643</v>
      </c>
      <c r="U485" t="s">
        <v>74</v>
      </c>
      <c r="V485" t="s">
        <v>6644</v>
      </c>
      <c r="W485" t="s">
        <v>6645</v>
      </c>
      <c r="X485" t="s">
        <v>6646</v>
      </c>
      <c r="Y485" t="s">
        <v>6647</v>
      </c>
      <c r="Z485" t="s">
        <v>6648</v>
      </c>
      <c r="AA485" t="s">
        <v>6649</v>
      </c>
      <c r="AB485" t="s">
        <v>6650</v>
      </c>
      <c r="AC485" t="s">
        <v>74</v>
      </c>
      <c r="AD485" t="s">
        <v>74</v>
      </c>
      <c r="AE485" t="s">
        <v>74</v>
      </c>
      <c r="AF485" t="s">
        <v>74</v>
      </c>
      <c r="AG485">
        <v>18</v>
      </c>
      <c r="AH485">
        <v>6</v>
      </c>
      <c r="AI485">
        <v>6</v>
      </c>
      <c r="AJ485">
        <v>1</v>
      </c>
      <c r="AK485">
        <v>1</v>
      </c>
      <c r="AL485" t="s">
        <v>74</v>
      </c>
      <c r="AM485" t="s">
        <v>74</v>
      </c>
      <c r="AN485" t="s">
        <v>74</v>
      </c>
      <c r="AO485" t="s">
        <v>74</v>
      </c>
      <c r="AP485" t="s">
        <v>677</v>
      </c>
      <c r="AQ485" t="s">
        <v>74</v>
      </c>
      <c r="AR485" t="s">
        <v>74</v>
      </c>
      <c r="AS485" t="s">
        <v>74</v>
      </c>
      <c r="AT485" t="s">
        <v>129</v>
      </c>
      <c r="AU485">
        <v>2021</v>
      </c>
      <c r="AV485">
        <v>22</v>
      </c>
      <c r="AW485">
        <v>7</v>
      </c>
      <c r="AX485" t="s">
        <v>74</v>
      </c>
      <c r="AY485" t="s">
        <v>74</v>
      </c>
      <c r="AZ485" t="s">
        <v>74</v>
      </c>
      <c r="BA485" t="s">
        <v>74</v>
      </c>
      <c r="BB485" t="s">
        <v>74</v>
      </c>
      <c r="BC485" t="s">
        <v>74</v>
      </c>
      <c r="BD485">
        <v>3558</v>
      </c>
      <c r="BE485" t="s">
        <v>6651</v>
      </c>
      <c r="BF485" t="str">
        <f>HYPERLINK("http://dx.doi.org/10.3390/ijms22073558","http://dx.doi.org/10.3390/ijms22073558")</f>
        <v>http://dx.doi.org/10.3390/ijms22073558</v>
      </c>
      <c r="BG485" t="s">
        <v>74</v>
      </c>
      <c r="BH485" t="s">
        <v>74</v>
      </c>
      <c r="BI485" t="s">
        <v>74</v>
      </c>
      <c r="BJ485" t="s">
        <v>680</v>
      </c>
      <c r="BK485" t="s">
        <v>112</v>
      </c>
      <c r="BL485" t="s">
        <v>681</v>
      </c>
      <c r="BM485" t="s">
        <v>74</v>
      </c>
      <c r="BN485">
        <v>33808110</v>
      </c>
      <c r="BO485" t="s">
        <v>74</v>
      </c>
      <c r="BP485" t="s">
        <v>74</v>
      </c>
      <c r="BQ485" t="s">
        <v>74</v>
      </c>
      <c r="BR485" t="s">
        <v>93</v>
      </c>
      <c r="BS485" t="s">
        <v>6652</v>
      </c>
      <c r="BT485" t="str">
        <f>HYPERLINK("https%3A%2F%2Fwww.webofscience.com%2Fwos%2Fwoscc%2Ffull-record%2FWOS:000638676900001","View Full Record in Web of Science")</f>
        <v>View Full Record in Web of Science</v>
      </c>
    </row>
    <row r="486" spans="1:72" x14ac:dyDescent="0.15">
      <c r="A486" t="s">
        <v>72</v>
      </c>
      <c r="B486" t="s">
        <v>6838</v>
      </c>
      <c r="C486" t="s">
        <v>74</v>
      </c>
      <c r="D486" t="s">
        <v>74</v>
      </c>
      <c r="E486" t="s">
        <v>74</v>
      </c>
      <c r="F486" t="s">
        <v>6839</v>
      </c>
      <c r="G486" t="s">
        <v>74</v>
      </c>
      <c r="H486" t="s">
        <v>74</v>
      </c>
      <c r="I486" t="s">
        <v>6840</v>
      </c>
      <c r="J486" t="s">
        <v>6841</v>
      </c>
      <c r="K486" t="s">
        <v>74</v>
      </c>
      <c r="L486" t="s">
        <v>74</v>
      </c>
      <c r="M486" t="s">
        <v>74</v>
      </c>
      <c r="N486" t="s">
        <v>78</v>
      </c>
      <c r="O486" t="s">
        <v>74</v>
      </c>
      <c r="P486" t="s">
        <v>74</v>
      </c>
      <c r="Q486" t="s">
        <v>74</v>
      </c>
      <c r="R486" t="s">
        <v>74</v>
      </c>
      <c r="S486" t="s">
        <v>74</v>
      </c>
      <c r="T486" t="s">
        <v>74</v>
      </c>
      <c r="U486" t="s">
        <v>6842</v>
      </c>
      <c r="V486" t="s">
        <v>6843</v>
      </c>
      <c r="W486" t="s">
        <v>6844</v>
      </c>
      <c r="X486" t="s">
        <v>5597</v>
      </c>
      <c r="Y486" t="s">
        <v>6845</v>
      </c>
      <c r="Z486" t="s">
        <v>5599</v>
      </c>
      <c r="AA486" t="s">
        <v>5600</v>
      </c>
      <c r="AB486" t="s">
        <v>74</v>
      </c>
      <c r="AC486" t="s">
        <v>74</v>
      </c>
      <c r="AD486" t="s">
        <v>74</v>
      </c>
      <c r="AE486" t="s">
        <v>74</v>
      </c>
      <c r="AF486" t="s">
        <v>74</v>
      </c>
      <c r="AG486">
        <v>28</v>
      </c>
      <c r="AH486">
        <v>6</v>
      </c>
      <c r="AI486">
        <v>6</v>
      </c>
      <c r="AJ486">
        <v>12</v>
      </c>
      <c r="AK486">
        <v>46</v>
      </c>
      <c r="AL486" t="s">
        <v>74</v>
      </c>
      <c r="AM486" t="s">
        <v>74</v>
      </c>
      <c r="AN486" t="s">
        <v>74</v>
      </c>
      <c r="AO486" t="s">
        <v>6846</v>
      </c>
      <c r="AP486" t="s">
        <v>6847</v>
      </c>
      <c r="AQ486" t="s">
        <v>74</v>
      </c>
      <c r="AR486" t="s">
        <v>74</v>
      </c>
      <c r="AS486" t="s">
        <v>74</v>
      </c>
      <c r="AT486" t="s">
        <v>6848</v>
      </c>
      <c r="AU486">
        <v>2020</v>
      </c>
      <c r="AV486">
        <v>56</v>
      </c>
      <c r="AW486">
        <v>84</v>
      </c>
      <c r="AX486" t="s">
        <v>74</v>
      </c>
      <c r="AY486" t="s">
        <v>74</v>
      </c>
      <c r="AZ486" t="s">
        <v>74</v>
      </c>
      <c r="BA486" t="s">
        <v>74</v>
      </c>
      <c r="BB486">
        <v>12793</v>
      </c>
      <c r="BC486">
        <v>12796</v>
      </c>
      <c r="BD486" t="s">
        <v>74</v>
      </c>
      <c r="BE486" t="s">
        <v>6849</v>
      </c>
      <c r="BF486" t="str">
        <f>HYPERLINK("http://dx.doi.org/10.1039/d0cc04881j","http://dx.doi.org/10.1039/d0cc04881j")</f>
        <v>http://dx.doi.org/10.1039/d0cc04881j</v>
      </c>
      <c r="BG486" t="s">
        <v>74</v>
      </c>
      <c r="BH486" t="s">
        <v>74</v>
      </c>
      <c r="BI486" t="s">
        <v>74</v>
      </c>
      <c r="BJ486" t="s">
        <v>3810</v>
      </c>
      <c r="BK486" t="s">
        <v>112</v>
      </c>
      <c r="BL486" t="s">
        <v>1197</v>
      </c>
      <c r="BM486" t="s">
        <v>74</v>
      </c>
      <c r="BN486">
        <v>32966397</v>
      </c>
      <c r="BO486" t="s">
        <v>74</v>
      </c>
      <c r="BP486" t="s">
        <v>74</v>
      </c>
      <c r="BQ486" t="s">
        <v>74</v>
      </c>
      <c r="BR486" t="s">
        <v>93</v>
      </c>
      <c r="BS486" t="s">
        <v>6850</v>
      </c>
      <c r="BT486" t="str">
        <f>HYPERLINK("https%3A%2F%2Fwww.webofscience.com%2Fwos%2Fwoscc%2Ffull-record%2FWOS:000580724600019","View Full Record in Web of Science")</f>
        <v>View Full Record in Web of Science</v>
      </c>
    </row>
    <row r="487" spans="1:72" x14ac:dyDescent="0.15">
      <c r="A487" t="s">
        <v>72</v>
      </c>
      <c r="B487" t="s">
        <v>7144</v>
      </c>
      <c r="C487" t="s">
        <v>74</v>
      </c>
      <c r="D487" t="s">
        <v>74</v>
      </c>
      <c r="E487" t="s">
        <v>74</v>
      </c>
      <c r="F487" t="s">
        <v>7145</v>
      </c>
      <c r="G487" t="s">
        <v>74</v>
      </c>
      <c r="H487" t="s">
        <v>74</v>
      </c>
      <c r="I487" t="s">
        <v>7146</v>
      </c>
      <c r="J487" t="s">
        <v>7147</v>
      </c>
      <c r="K487" t="s">
        <v>74</v>
      </c>
      <c r="L487" t="s">
        <v>74</v>
      </c>
      <c r="M487" t="s">
        <v>74</v>
      </c>
      <c r="N487" t="s">
        <v>78</v>
      </c>
      <c r="O487" t="s">
        <v>74</v>
      </c>
      <c r="P487" t="s">
        <v>74</v>
      </c>
      <c r="Q487" t="s">
        <v>74</v>
      </c>
      <c r="R487" t="s">
        <v>74</v>
      </c>
      <c r="S487" t="s">
        <v>74</v>
      </c>
      <c r="T487" t="s">
        <v>7148</v>
      </c>
      <c r="U487" t="s">
        <v>7149</v>
      </c>
      <c r="V487" t="s">
        <v>7150</v>
      </c>
      <c r="W487" t="s">
        <v>7151</v>
      </c>
      <c r="X487" t="s">
        <v>7152</v>
      </c>
      <c r="Y487" t="s">
        <v>7153</v>
      </c>
      <c r="Z487" t="s">
        <v>7154</v>
      </c>
      <c r="AA487" t="s">
        <v>74</v>
      </c>
      <c r="AB487" t="s">
        <v>4241</v>
      </c>
      <c r="AC487" t="s">
        <v>74</v>
      </c>
      <c r="AD487" t="s">
        <v>74</v>
      </c>
      <c r="AE487" t="s">
        <v>74</v>
      </c>
      <c r="AF487" t="s">
        <v>74</v>
      </c>
      <c r="AG487">
        <v>42</v>
      </c>
      <c r="AH487">
        <v>6</v>
      </c>
      <c r="AI487">
        <v>6</v>
      </c>
      <c r="AJ487">
        <v>2</v>
      </c>
      <c r="AK487">
        <v>5</v>
      </c>
      <c r="AL487" t="s">
        <v>74</v>
      </c>
      <c r="AM487" t="s">
        <v>74</v>
      </c>
      <c r="AN487" t="s">
        <v>74</v>
      </c>
      <c r="AO487" t="s">
        <v>7155</v>
      </c>
      <c r="AP487" t="s">
        <v>74</v>
      </c>
      <c r="AQ487" t="s">
        <v>74</v>
      </c>
      <c r="AR487" t="s">
        <v>74</v>
      </c>
      <c r="AS487" t="s">
        <v>74</v>
      </c>
      <c r="AT487" t="s">
        <v>7156</v>
      </c>
      <c r="AU487">
        <v>2020</v>
      </c>
      <c r="AV487">
        <v>11</v>
      </c>
      <c r="AW487" t="s">
        <v>74</v>
      </c>
      <c r="AX487" t="s">
        <v>74</v>
      </c>
      <c r="AY487" t="s">
        <v>74</v>
      </c>
      <c r="AZ487" t="s">
        <v>74</v>
      </c>
      <c r="BA487" t="s">
        <v>74</v>
      </c>
      <c r="BB487" t="s">
        <v>74</v>
      </c>
      <c r="BC487" t="s">
        <v>74</v>
      </c>
      <c r="BD487">
        <v>685</v>
      </c>
      <c r="BE487" t="s">
        <v>7157</v>
      </c>
      <c r="BF487" t="str">
        <f>HYPERLINK("http://dx.doi.org/10.3389/fneur.2020.00685","http://dx.doi.org/10.3389/fneur.2020.00685")</f>
        <v>http://dx.doi.org/10.3389/fneur.2020.00685</v>
      </c>
      <c r="BG487" t="s">
        <v>74</v>
      </c>
      <c r="BH487" t="s">
        <v>74</v>
      </c>
      <c r="BI487" t="s">
        <v>74</v>
      </c>
      <c r="BJ487" t="s">
        <v>2406</v>
      </c>
      <c r="BK487" t="s">
        <v>112</v>
      </c>
      <c r="BL487" t="s">
        <v>2407</v>
      </c>
      <c r="BM487" t="s">
        <v>74</v>
      </c>
      <c r="BN487">
        <v>32760343</v>
      </c>
      <c r="BO487" t="s">
        <v>74</v>
      </c>
      <c r="BP487" t="s">
        <v>74</v>
      </c>
      <c r="BQ487" t="s">
        <v>74</v>
      </c>
      <c r="BR487" t="s">
        <v>93</v>
      </c>
      <c r="BS487" t="s">
        <v>7158</v>
      </c>
      <c r="BT487" t="str">
        <f>HYPERLINK("https%3A%2F%2Fwww.webofscience.com%2Fwos%2Fwoscc%2Ffull-record%2FWOS:000556308500001","View Full Record in Web of Science")</f>
        <v>View Full Record in Web of Science</v>
      </c>
    </row>
    <row r="488" spans="1:72" x14ac:dyDescent="0.15">
      <c r="A488" t="s">
        <v>72</v>
      </c>
      <c r="B488" t="s">
        <v>7222</v>
      </c>
      <c r="C488" t="s">
        <v>74</v>
      </c>
      <c r="D488" t="s">
        <v>74</v>
      </c>
      <c r="E488" t="s">
        <v>74</v>
      </c>
      <c r="F488" t="s">
        <v>7222</v>
      </c>
      <c r="G488" t="s">
        <v>74</v>
      </c>
      <c r="H488" t="s">
        <v>74</v>
      </c>
      <c r="I488" t="s">
        <v>7223</v>
      </c>
      <c r="J488" t="s">
        <v>7224</v>
      </c>
      <c r="K488" t="s">
        <v>74</v>
      </c>
      <c r="L488" t="s">
        <v>74</v>
      </c>
      <c r="M488" t="s">
        <v>74</v>
      </c>
      <c r="N488" t="s">
        <v>752</v>
      </c>
      <c r="O488" t="s">
        <v>7225</v>
      </c>
      <c r="P488" t="s">
        <v>7226</v>
      </c>
      <c r="Q488" t="s">
        <v>7227</v>
      </c>
      <c r="R488" t="s">
        <v>74</v>
      </c>
      <c r="S488" t="s">
        <v>74</v>
      </c>
      <c r="T488" t="s">
        <v>7228</v>
      </c>
      <c r="U488" t="s">
        <v>7229</v>
      </c>
      <c r="V488" t="s">
        <v>7230</v>
      </c>
      <c r="W488" t="s">
        <v>7231</v>
      </c>
      <c r="X488" t="s">
        <v>7232</v>
      </c>
      <c r="Y488" t="s">
        <v>7233</v>
      </c>
      <c r="Z488" t="s">
        <v>74</v>
      </c>
      <c r="AA488" t="s">
        <v>7234</v>
      </c>
      <c r="AB488" t="s">
        <v>74</v>
      </c>
      <c r="AC488" t="s">
        <v>74</v>
      </c>
      <c r="AD488" t="s">
        <v>74</v>
      </c>
      <c r="AE488" t="s">
        <v>74</v>
      </c>
      <c r="AF488" t="s">
        <v>74</v>
      </c>
      <c r="AG488">
        <v>48</v>
      </c>
      <c r="AH488">
        <v>6</v>
      </c>
      <c r="AI488">
        <v>6</v>
      </c>
      <c r="AJ488">
        <v>0</v>
      </c>
      <c r="AK488">
        <v>1</v>
      </c>
      <c r="AL488" t="s">
        <v>74</v>
      </c>
      <c r="AM488" t="s">
        <v>74</v>
      </c>
      <c r="AN488" t="s">
        <v>74</v>
      </c>
      <c r="AO488" t="s">
        <v>7235</v>
      </c>
      <c r="AP488" t="s">
        <v>7236</v>
      </c>
      <c r="AQ488" t="s">
        <v>74</v>
      </c>
      <c r="AR488" t="s">
        <v>74</v>
      </c>
      <c r="AS488" t="s">
        <v>74</v>
      </c>
      <c r="AT488" t="s">
        <v>74</v>
      </c>
      <c r="AU488">
        <v>1997</v>
      </c>
      <c r="AV488">
        <v>15</v>
      </c>
      <c r="AW488" t="s">
        <v>74</v>
      </c>
      <c r="AX488" t="s">
        <v>74</v>
      </c>
      <c r="AY488">
        <v>1</v>
      </c>
      <c r="AZ488" t="s">
        <v>74</v>
      </c>
      <c r="BA488" t="s">
        <v>74</v>
      </c>
      <c r="BB488">
        <v>49</v>
      </c>
      <c r="BC488">
        <v>57</v>
      </c>
      <c r="BD488" t="s">
        <v>74</v>
      </c>
      <c r="BE488" t="s">
        <v>74</v>
      </c>
      <c r="BF488" t="s">
        <v>74</v>
      </c>
      <c r="BG488" t="s">
        <v>74</v>
      </c>
      <c r="BH488" t="s">
        <v>74</v>
      </c>
      <c r="BI488" t="s">
        <v>74</v>
      </c>
      <c r="BJ488" t="s">
        <v>7237</v>
      </c>
      <c r="BK488" t="s">
        <v>1408</v>
      </c>
      <c r="BL488" t="s">
        <v>7238</v>
      </c>
      <c r="BM488" t="s">
        <v>74</v>
      </c>
      <c r="BN488">
        <v>9368286</v>
      </c>
      <c r="BO488" t="s">
        <v>74</v>
      </c>
      <c r="BP488" t="s">
        <v>74</v>
      </c>
      <c r="BQ488" t="s">
        <v>74</v>
      </c>
      <c r="BR488" t="s">
        <v>93</v>
      </c>
      <c r="BS488" t="s">
        <v>7239</v>
      </c>
      <c r="BT488" t="str">
        <f>HYPERLINK("https%3A%2F%2Fwww.webofscience.com%2Fwos%2Fwoscc%2Ffull-record%2FWOS:A1997YF08200008","View Full Record in Web of Science")</f>
        <v>View Full Record in Web of Science</v>
      </c>
    </row>
    <row r="489" spans="1:72" x14ac:dyDescent="0.15">
      <c r="A489" t="s">
        <v>72</v>
      </c>
      <c r="B489" t="s">
        <v>7609</v>
      </c>
      <c r="C489" t="s">
        <v>74</v>
      </c>
      <c r="D489" t="s">
        <v>74</v>
      </c>
      <c r="E489" t="s">
        <v>74</v>
      </c>
      <c r="F489" t="s">
        <v>7610</v>
      </c>
      <c r="G489" t="s">
        <v>74</v>
      </c>
      <c r="H489" t="s">
        <v>74</v>
      </c>
      <c r="I489" t="s">
        <v>7611</v>
      </c>
      <c r="J489" t="s">
        <v>7612</v>
      </c>
      <c r="K489" t="s">
        <v>74</v>
      </c>
      <c r="L489" t="s">
        <v>74</v>
      </c>
      <c r="M489" t="s">
        <v>74</v>
      </c>
      <c r="N489" t="s">
        <v>78</v>
      </c>
      <c r="O489" t="s">
        <v>74</v>
      </c>
      <c r="P489" t="s">
        <v>74</v>
      </c>
      <c r="Q489" t="s">
        <v>74</v>
      </c>
      <c r="R489" t="s">
        <v>74</v>
      </c>
      <c r="S489" t="s">
        <v>74</v>
      </c>
      <c r="T489" t="s">
        <v>74</v>
      </c>
      <c r="U489" t="s">
        <v>7613</v>
      </c>
      <c r="V489" t="s">
        <v>7614</v>
      </c>
      <c r="W489" t="s">
        <v>7615</v>
      </c>
      <c r="X489" t="s">
        <v>7616</v>
      </c>
      <c r="Y489" t="s">
        <v>7617</v>
      </c>
      <c r="Z489" t="s">
        <v>7618</v>
      </c>
      <c r="AA489" t="s">
        <v>7619</v>
      </c>
      <c r="AB489" t="s">
        <v>7620</v>
      </c>
      <c r="AC489" t="s">
        <v>74</v>
      </c>
      <c r="AD489" t="s">
        <v>74</v>
      </c>
      <c r="AE489" t="s">
        <v>74</v>
      </c>
      <c r="AF489" t="s">
        <v>74</v>
      </c>
      <c r="AG489">
        <v>112</v>
      </c>
      <c r="AH489">
        <v>6</v>
      </c>
      <c r="AI489">
        <v>7</v>
      </c>
      <c r="AJ489">
        <v>3</v>
      </c>
      <c r="AK489">
        <v>8</v>
      </c>
      <c r="AL489" t="s">
        <v>74</v>
      </c>
      <c r="AM489" t="s">
        <v>74</v>
      </c>
      <c r="AN489" t="s">
        <v>74</v>
      </c>
      <c r="AO489" t="s">
        <v>7621</v>
      </c>
      <c r="AP489" t="s">
        <v>7622</v>
      </c>
      <c r="AQ489" t="s">
        <v>74</v>
      </c>
      <c r="AR489" t="s">
        <v>74</v>
      </c>
      <c r="AS489" t="s">
        <v>74</v>
      </c>
      <c r="AT489" t="s">
        <v>578</v>
      </c>
      <c r="AU489">
        <v>2021</v>
      </c>
      <c r="AV489">
        <v>131</v>
      </c>
      <c r="AW489">
        <v>12</v>
      </c>
      <c r="AX489" t="s">
        <v>74</v>
      </c>
      <c r="AY489" t="s">
        <v>74</v>
      </c>
      <c r="AZ489" t="s">
        <v>74</v>
      </c>
      <c r="BA489" t="s">
        <v>74</v>
      </c>
      <c r="BB489" t="s">
        <v>74</v>
      </c>
      <c r="BC489" t="s">
        <v>74</v>
      </c>
      <c r="BD489" t="s">
        <v>7623</v>
      </c>
      <c r="BE489" t="s">
        <v>7624</v>
      </c>
      <c r="BF489" t="str">
        <f>HYPERLINK("http://dx.doi.org/10.1172/JCI140723","http://dx.doi.org/10.1172/JCI140723")</f>
        <v>http://dx.doi.org/10.1172/JCI140723</v>
      </c>
      <c r="BG489" t="s">
        <v>74</v>
      </c>
      <c r="BH489" t="s">
        <v>74</v>
      </c>
      <c r="BI489" t="s">
        <v>74</v>
      </c>
      <c r="BJ489" t="s">
        <v>506</v>
      </c>
      <c r="BK489" t="s">
        <v>112</v>
      </c>
      <c r="BL489" t="s">
        <v>507</v>
      </c>
      <c r="BM489" t="s">
        <v>74</v>
      </c>
      <c r="BN489">
        <v>33945510</v>
      </c>
      <c r="BO489" t="s">
        <v>74</v>
      </c>
      <c r="BP489" t="s">
        <v>74</v>
      </c>
      <c r="BQ489" t="s">
        <v>74</v>
      </c>
      <c r="BR489" t="s">
        <v>93</v>
      </c>
      <c r="BS489" t="s">
        <v>7625</v>
      </c>
      <c r="BT489" t="str">
        <f>HYPERLINK("https%3A%2F%2Fwww.webofscience.com%2Fwos%2Fwoscc%2Ffull-record%2FWOS:000661970000002","View Full Record in Web of Science")</f>
        <v>View Full Record in Web of Science</v>
      </c>
    </row>
    <row r="490" spans="1:72" x14ac:dyDescent="0.15">
      <c r="A490" t="s">
        <v>72</v>
      </c>
      <c r="B490" t="s">
        <v>7742</v>
      </c>
      <c r="C490" t="s">
        <v>74</v>
      </c>
      <c r="D490" t="s">
        <v>74</v>
      </c>
      <c r="E490" t="s">
        <v>74</v>
      </c>
      <c r="F490" t="s">
        <v>7743</v>
      </c>
      <c r="G490" t="s">
        <v>74</v>
      </c>
      <c r="H490" t="s">
        <v>74</v>
      </c>
      <c r="I490" t="s">
        <v>7744</v>
      </c>
      <c r="J490" t="s">
        <v>6854</v>
      </c>
      <c r="K490" t="s">
        <v>74</v>
      </c>
      <c r="L490" t="s">
        <v>74</v>
      </c>
      <c r="M490" t="s">
        <v>74</v>
      </c>
      <c r="N490" t="s">
        <v>78</v>
      </c>
      <c r="O490" t="s">
        <v>74</v>
      </c>
      <c r="P490" t="s">
        <v>74</v>
      </c>
      <c r="Q490" t="s">
        <v>74</v>
      </c>
      <c r="R490" t="s">
        <v>74</v>
      </c>
      <c r="S490" t="s">
        <v>74</v>
      </c>
      <c r="T490" t="s">
        <v>74</v>
      </c>
      <c r="U490" t="s">
        <v>7745</v>
      </c>
      <c r="V490" t="s">
        <v>7746</v>
      </c>
      <c r="W490" t="s">
        <v>7747</v>
      </c>
      <c r="X490" t="s">
        <v>7748</v>
      </c>
      <c r="Y490" t="s">
        <v>7749</v>
      </c>
      <c r="Z490" t="s">
        <v>7750</v>
      </c>
      <c r="AA490" t="s">
        <v>74</v>
      </c>
      <c r="AB490" t="s">
        <v>6437</v>
      </c>
      <c r="AC490" t="s">
        <v>74</v>
      </c>
      <c r="AD490" t="s">
        <v>74</v>
      </c>
      <c r="AE490" t="s">
        <v>74</v>
      </c>
      <c r="AF490" t="s">
        <v>74</v>
      </c>
      <c r="AG490">
        <v>52</v>
      </c>
      <c r="AH490">
        <v>6</v>
      </c>
      <c r="AI490">
        <v>6</v>
      </c>
      <c r="AJ490">
        <v>7</v>
      </c>
      <c r="AK490">
        <v>33</v>
      </c>
      <c r="AL490" t="s">
        <v>74</v>
      </c>
      <c r="AM490" t="s">
        <v>74</v>
      </c>
      <c r="AN490" t="s">
        <v>74</v>
      </c>
      <c r="AO490" t="s">
        <v>6863</v>
      </c>
      <c r="AP490" t="s">
        <v>6864</v>
      </c>
      <c r="AQ490" t="s">
        <v>74</v>
      </c>
      <c r="AR490" t="s">
        <v>74</v>
      </c>
      <c r="AS490" t="s">
        <v>74</v>
      </c>
      <c r="AT490" t="s">
        <v>7751</v>
      </c>
      <c r="AU490">
        <v>2021</v>
      </c>
      <c r="AV490">
        <v>146</v>
      </c>
      <c r="AW490">
        <v>7</v>
      </c>
      <c r="AX490" t="s">
        <v>74</v>
      </c>
      <c r="AY490" t="s">
        <v>74</v>
      </c>
      <c r="AZ490" t="s">
        <v>74</v>
      </c>
      <c r="BA490" t="s">
        <v>74</v>
      </c>
      <c r="BB490">
        <v>2264</v>
      </c>
      <c r="BC490">
        <v>2276</v>
      </c>
      <c r="BD490" t="s">
        <v>74</v>
      </c>
      <c r="BE490" t="s">
        <v>7752</v>
      </c>
      <c r="BF490" t="str">
        <f>HYPERLINK("http://dx.doi.org/10.1039/d0an02224a","http://dx.doi.org/10.1039/d0an02224a")</f>
        <v>http://dx.doi.org/10.1039/d0an02224a</v>
      </c>
      <c r="BG490" t="s">
        <v>74</v>
      </c>
      <c r="BH490" t="s">
        <v>74</v>
      </c>
      <c r="BI490" t="s">
        <v>74</v>
      </c>
      <c r="BJ490" t="s">
        <v>1196</v>
      </c>
      <c r="BK490" t="s">
        <v>112</v>
      </c>
      <c r="BL490" t="s">
        <v>1197</v>
      </c>
      <c r="BM490" t="s">
        <v>74</v>
      </c>
      <c r="BN490">
        <v>33599630</v>
      </c>
      <c r="BO490" t="s">
        <v>74</v>
      </c>
      <c r="BP490" t="s">
        <v>74</v>
      </c>
      <c r="BQ490" t="s">
        <v>74</v>
      </c>
      <c r="BR490" t="s">
        <v>93</v>
      </c>
      <c r="BS490" t="s">
        <v>7753</v>
      </c>
      <c r="BT490" t="str">
        <f>HYPERLINK("https%3A%2F%2Fwww.webofscience.com%2Fwos%2Fwoscc%2Ffull-record%2FWOS:000637210700017","View Full Record in Web of Science")</f>
        <v>View Full Record in Web of Science</v>
      </c>
    </row>
    <row r="491" spans="1:72" x14ac:dyDescent="0.15">
      <c r="A491" t="s">
        <v>72</v>
      </c>
      <c r="B491" t="s">
        <v>7976</v>
      </c>
      <c r="C491" t="s">
        <v>74</v>
      </c>
      <c r="D491" t="s">
        <v>74</v>
      </c>
      <c r="E491" t="s">
        <v>74</v>
      </c>
      <c r="F491" t="s">
        <v>7977</v>
      </c>
      <c r="G491" t="s">
        <v>74</v>
      </c>
      <c r="H491" t="s">
        <v>74</v>
      </c>
      <c r="I491" t="s">
        <v>7978</v>
      </c>
      <c r="J491" t="s">
        <v>568</v>
      </c>
      <c r="K491" t="s">
        <v>74</v>
      </c>
      <c r="L491" t="s">
        <v>74</v>
      </c>
      <c r="M491" t="s">
        <v>74</v>
      </c>
      <c r="N491" t="s">
        <v>78</v>
      </c>
      <c r="O491" t="s">
        <v>74</v>
      </c>
      <c r="P491" t="s">
        <v>74</v>
      </c>
      <c r="Q491" t="s">
        <v>74</v>
      </c>
      <c r="R491" t="s">
        <v>74</v>
      </c>
      <c r="S491" t="s">
        <v>74</v>
      </c>
      <c r="T491" t="s">
        <v>74</v>
      </c>
      <c r="U491" t="s">
        <v>7979</v>
      </c>
      <c r="V491" t="s">
        <v>7980</v>
      </c>
      <c r="W491" t="s">
        <v>7981</v>
      </c>
      <c r="X491" t="s">
        <v>7982</v>
      </c>
      <c r="Y491" t="s">
        <v>7983</v>
      </c>
      <c r="Z491" t="s">
        <v>7984</v>
      </c>
      <c r="AA491" t="s">
        <v>74</v>
      </c>
      <c r="AB491" t="s">
        <v>74</v>
      </c>
      <c r="AC491" t="s">
        <v>74</v>
      </c>
      <c r="AD491" t="s">
        <v>74</v>
      </c>
      <c r="AE491" t="s">
        <v>74</v>
      </c>
      <c r="AF491" t="s">
        <v>74</v>
      </c>
      <c r="AG491">
        <v>24</v>
      </c>
      <c r="AH491">
        <v>6</v>
      </c>
      <c r="AI491">
        <v>7</v>
      </c>
      <c r="AJ491">
        <v>0</v>
      </c>
      <c r="AK491">
        <v>2</v>
      </c>
      <c r="AL491" t="s">
        <v>74</v>
      </c>
      <c r="AM491" t="s">
        <v>74</v>
      </c>
      <c r="AN491" t="s">
        <v>74</v>
      </c>
      <c r="AO491" t="s">
        <v>577</v>
      </c>
      <c r="AP491" t="s">
        <v>74</v>
      </c>
      <c r="AQ491" t="s">
        <v>74</v>
      </c>
      <c r="AR491" t="s">
        <v>74</v>
      </c>
      <c r="AS491" t="s">
        <v>74</v>
      </c>
      <c r="AT491" t="s">
        <v>6225</v>
      </c>
      <c r="AU491">
        <v>2020</v>
      </c>
      <c r="AV491">
        <v>15</v>
      </c>
      <c r="AW491">
        <v>7</v>
      </c>
      <c r="AX491" t="s">
        <v>74</v>
      </c>
      <c r="AY491" t="s">
        <v>74</v>
      </c>
      <c r="AZ491" t="s">
        <v>74</v>
      </c>
      <c r="BA491" t="s">
        <v>74</v>
      </c>
      <c r="BB491" t="s">
        <v>74</v>
      </c>
      <c r="BC491" t="s">
        <v>74</v>
      </c>
      <c r="BD491" t="s">
        <v>7985</v>
      </c>
      <c r="BE491" t="s">
        <v>7986</v>
      </c>
      <c r="BF491" t="str">
        <f>HYPERLINK("http://dx.doi.org/10.1371/journal.pone.0235611; 10.1371/journal.pone.0235611.r001; 10.1371/journal.pone.0235611.r002; 10.1371/journal.pone.0235611.r003; 10.1371/journal.pone.0235611.r004","http://dx.doi.org/10.1371/journal.pone.0235611; 10.1371/journal.pone.0235611.r001; 10.1371/journal.pone.0235611.r002; 10.1371/journal.pone.0235611.r003; 10.1371/journal.pone.0235611.r004")</f>
        <v>http://dx.doi.org/10.1371/journal.pone.0235611; 10.1371/journal.pone.0235611.r001; 10.1371/journal.pone.0235611.r002; 10.1371/journal.pone.0235611.r003; 10.1371/journal.pone.0235611.r004</v>
      </c>
      <c r="BG491" t="s">
        <v>74</v>
      </c>
      <c r="BH491" t="s">
        <v>74</v>
      </c>
      <c r="BI491" t="s">
        <v>74</v>
      </c>
      <c r="BJ491" t="s">
        <v>545</v>
      </c>
      <c r="BK491" t="s">
        <v>112</v>
      </c>
      <c r="BL491" t="s">
        <v>546</v>
      </c>
      <c r="BM491" t="s">
        <v>74</v>
      </c>
      <c r="BN491">
        <v>32634139</v>
      </c>
      <c r="BO491" t="s">
        <v>74</v>
      </c>
      <c r="BP491" t="s">
        <v>74</v>
      </c>
      <c r="BQ491" t="s">
        <v>74</v>
      </c>
      <c r="BR491" t="s">
        <v>93</v>
      </c>
      <c r="BS491" t="s">
        <v>7987</v>
      </c>
      <c r="BT491" t="str">
        <f>HYPERLINK("https%3A%2F%2Fwww.webofscience.com%2Fwos%2Fwoscc%2Ffull-record%2FWOS:000550645600029","View Full Record in Web of Science")</f>
        <v>View Full Record in Web of Science</v>
      </c>
    </row>
    <row r="492" spans="1:72" x14ac:dyDescent="0.15">
      <c r="A492" t="s">
        <v>72</v>
      </c>
      <c r="B492" t="s">
        <v>9564</v>
      </c>
      <c r="C492" t="s">
        <v>74</v>
      </c>
      <c r="D492" t="s">
        <v>74</v>
      </c>
      <c r="E492" t="s">
        <v>74</v>
      </c>
      <c r="F492" t="s">
        <v>9565</v>
      </c>
      <c r="G492" t="s">
        <v>74</v>
      </c>
      <c r="H492" t="s">
        <v>74</v>
      </c>
      <c r="I492" t="s">
        <v>9566</v>
      </c>
      <c r="J492" t="s">
        <v>9567</v>
      </c>
      <c r="K492" t="s">
        <v>74</v>
      </c>
      <c r="L492" t="s">
        <v>74</v>
      </c>
      <c r="M492" t="s">
        <v>74</v>
      </c>
      <c r="N492" t="s">
        <v>78</v>
      </c>
      <c r="O492" t="s">
        <v>74</v>
      </c>
      <c r="P492" t="s">
        <v>74</v>
      </c>
      <c r="Q492" t="s">
        <v>74</v>
      </c>
      <c r="R492" t="s">
        <v>74</v>
      </c>
      <c r="S492" t="s">
        <v>74</v>
      </c>
      <c r="T492" t="s">
        <v>9568</v>
      </c>
      <c r="U492" t="s">
        <v>9569</v>
      </c>
      <c r="V492" t="s">
        <v>9570</v>
      </c>
      <c r="W492" t="s">
        <v>9571</v>
      </c>
      <c r="X492" t="s">
        <v>9572</v>
      </c>
      <c r="Y492" t="s">
        <v>9573</v>
      </c>
      <c r="Z492" t="s">
        <v>9574</v>
      </c>
      <c r="AA492" t="s">
        <v>74</v>
      </c>
      <c r="AB492" t="s">
        <v>9575</v>
      </c>
      <c r="AC492" t="s">
        <v>74</v>
      </c>
      <c r="AD492" t="s">
        <v>74</v>
      </c>
      <c r="AE492" t="s">
        <v>74</v>
      </c>
      <c r="AF492" t="s">
        <v>74</v>
      </c>
      <c r="AG492">
        <v>73</v>
      </c>
      <c r="AH492">
        <v>6</v>
      </c>
      <c r="AI492">
        <v>6</v>
      </c>
      <c r="AJ492">
        <v>1</v>
      </c>
      <c r="AK492">
        <v>14</v>
      </c>
      <c r="AL492" t="s">
        <v>74</v>
      </c>
      <c r="AM492" t="s">
        <v>74</v>
      </c>
      <c r="AN492" t="s">
        <v>74</v>
      </c>
      <c r="AO492" t="s">
        <v>9576</v>
      </c>
      <c r="AP492" t="s">
        <v>9577</v>
      </c>
      <c r="AQ492" t="s">
        <v>74</v>
      </c>
      <c r="AR492" t="s">
        <v>74</v>
      </c>
      <c r="AS492" t="s">
        <v>74</v>
      </c>
      <c r="AT492" t="s">
        <v>9578</v>
      </c>
      <c r="AU492">
        <v>2020</v>
      </c>
      <c r="AV492">
        <v>126</v>
      </c>
      <c r="AW492">
        <v>10</v>
      </c>
      <c r="AX492" t="s">
        <v>74</v>
      </c>
      <c r="AY492" t="s">
        <v>74</v>
      </c>
      <c r="AZ492" t="s">
        <v>74</v>
      </c>
      <c r="BA492" t="s">
        <v>74</v>
      </c>
      <c r="BB492">
        <v>1363</v>
      </c>
      <c r="BC492">
        <v>1378</v>
      </c>
      <c r="BD492" t="s">
        <v>74</v>
      </c>
      <c r="BE492" t="s">
        <v>9579</v>
      </c>
      <c r="BF492" t="str">
        <f>HYPERLINK("http://dx.doi.org/10.1161/CIRCRESAHA.119.316141","http://dx.doi.org/10.1161/CIRCRESAHA.119.316141")</f>
        <v>http://dx.doi.org/10.1161/CIRCRESAHA.119.316141</v>
      </c>
      <c r="BG492" t="s">
        <v>74</v>
      </c>
      <c r="BH492" t="s">
        <v>74</v>
      </c>
      <c r="BI492" t="s">
        <v>74</v>
      </c>
      <c r="BJ492" t="s">
        <v>7204</v>
      </c>
      <c r="BK492" t="s">
        <v>112</v>
      </c>
      <c r="BL492" t="s">
        <v>7205</v>
      </c>
      <c r="BM492" t="s">
        <v>74</v>
      </c>
      <c r="BN492">
        <v>32160132</v>
      </c>
      <c r="BO492" t="s">
        <v>74</v>
      </c>
      <c r="BP492" t="s">
        <v>74</v>
      </c>
      <c r="BQ492" t="s">
        <v>74</v>
      </c>
      <c r="BR492" t="s">
        <v>93</v>
      </c>
      <c r="BS492" t="s">
        <v>9580</v>
      </c>
      <c r="BT492" t="str">
        <f>HYPERLINK("https%3A%2F%2Fwww.webofscience.com%2Fwos%2Fwoscc%2Ffull-record%2FWOS:000533878100014","View Full Record in Web of Science")</f>
        <v>View Full Record in Web of Science</v>
      </c>
    </row>
    <row r="493" spans="1:72" x14ac:dyDescent="0.15">
      <c r="A493" t="s">
        <v>72</v>
      </c>
      <c r="B493" t="s">
        <v>9901</v>
      </c>
      <c r="C493" t="s">
        <v>74</v>
      </c>
      <c r="D493" t="s">
        <v>74</v>
      </c>
      <c r="E493" t="s">
        <v>74</v>
      </c>
      <c r="F493" t="s">
        <v>9901</v>
      </c>
      <c r="G493" t="s">
        <v>74</v>
      </c>
      <c r="H493" t="s">
        <v>74</v>
      </c>
      <c r="I493" t="s">
        <v>9902</v>
      </c>
      <c r="J493" t="s">
        <v>7654</v>
      </c>
      <c r="K493" t="s">
        <v>74</v>
      </c>
      <c r="L493" t="s">
        <v>74</v>
      </c>
      <c r="M493" t="s">
        <v>74</v>
      </c>
      <c r="N493" t="s">
        <v>78</v>
      </c>
      <c r="O493" t="s">
        <v>74</v>
      </c>
      <c r="P493" t="s">
        <v>74</v>
      </c>
      <c r="Q493" t="s">
        <v>74</v>
      </c>
      <c r="R493" t="s">
        <v>74</v>
      </c>
      <c r="S493" t="s">
        <v>74</v>
      </c>
      <c r="T493" t="s">
        <v>9903</v>
      </c>
      <c r="U493" t="s">
        <v>9904</v>
      </c>
      <c r="V493" t="s">
        <v>9905</v>
      </c>
      <c r="W493" t="s">
        <v>9906</v>
      </c>
      <c r="X493" t="s">
        <v>9907</v>
      </c>
      <c r="Y493" t="s">
        <v>9908</v>
      </c>
      <c r="Z493" t="s">
        <v>9909</v>
      </c>
      <c r="AA493" t="s">
        <v>74</v>
      </c>
      <c r="AB493" t="s">
        <v>74</v>
      </c>
      <c r="AC493" t="s">
        <v>74</v>
      </c>
      <c r="AD493" t="s">
        <v>74</v>
      </c>
      <c r="AE493" t="s">
        <v>74</v>
      </c>
      <c r="AF493" t="s">
        <v>74</v>
      </c>
      <c r="AG493">
        <v>87</v>
      </c>
      <c r="AH493">
        <v>6</v>
      </c>
      <c r="AI493">
        <v>8</v>
      </c>
      <c r="AJ493">
        <v>0</v>
      </c>
      <c r="AK493">
        <v>2</v>
      </c>
      <c r="AL493" t="s">
        <v>74</v>
      </c>
      <c r="AM493" t="s">
        <v>74</v>
      </c>
      <c r="AN493" t="s">
        <v>74</v>
      </c>
      <c r="AO493" t="s">
        <v>7664</v>
      </c>
      <c r="AP493" t="s">
        <v>7665</v>
      </c>
      <c r="AQ493" t="s">
        <v>74</v>
      </c>
      <c r="AR493" t="s">
        <v>74</v>
      </c>
      <c r="AS493" t="s">
        <v>74</v>
      </c>
      <c r="AT493" t="s">
        <v>6277</v>
      </c>
      <c r="AU493">
        <v>2006</v>
      </c>
      <c r="AV493">
        <v>98</v>
      </c>
      <c r="AW493">
        <v>2</v>
      </c>
      <c r="AX493" t="s">
        <v>74</v>
      </c>
      <c r="AY493" t="s">
        <v>74</v>
      </c>
      <c r="AZ493" t="s">
        <v>74</v>
      </c>
      <c r="BA493" t="s">
        <v>74</v>
      </c>
      <c r="BB493">
        <v>309</v>
      </c>
      <c r="BC493">
        <v>334</v>
      </c>
      <c r="BD493" t="s">
        <v>74</v>
      </c>
      <c r="BE493" t="s">
        <v>9910</v>
      </c>
      <c r="BF493" t="str">
        <f>HYPERLINK("http://dx.doi.org/10.1002/jcb.20767","http://dx.doi.org/10.1002/jcb.20767")</f>
        <v>http://dx.doi.org/10.1002/jcb.20767</v>
      </c>
      <c r="BG493" t="s">
        <v>74</v>
      </c>
      <c r="BH493" t="s">
        <v>74</v>
      </c>
      <c r="BI493" t="s">
        <v>74</v>
      </c>
      <c r="BJ493" t="s">
        <v>1493</v>
      </c>
      <c r="BK493" t="s">
        <v>112</v>
      </c>
      <c r="BL493" t="s">
        <v>1493</v>
      </c>
      <c r="BM493" t="s">
        <v>74</v>
      </c>
      <c r="BN493">
        <v>16408294</v>
      </c>
      <c r="BO493" t="s">
        <v>74</v>
      </c>
      <c r="BP493" t="s">
        <v>74</v>
      </c>
      <c r="BQ493" t="s">
        <v>74</v>
      </c>
      <c r="BR493" t="s">
        <v>93</v>
      </c>
      <c r="BS493" t="s">
        <v>9911</v>
      </c>
      <c r="BT493" t="str">
        <f>HYPERLINK("https%3A%2F%2Fwww.webofscience.com%2Fwos%2Fwoscc%2Ffull-record%2FWOS:000237234300007","View Full Record in Web of Science")</f>
        <v>View Full Record in Web of Science</v>
      </c>
    </row>
    <row r="494" spans="1:72" x14ac:dyDescent="0.15">
      <c r="A494" t="s">
        <v>72</v>
      </c>
      <c r="B494" t="s">
        <v>9951</v>
      </c>
      <c r="C494" t="s">
        <v>74</v>
      </c>
      <c r="D494" t="s">
        <v>74</v>
      </c>
      <c r="E494" t="s">
        <v>74</v>
      </c>
      <c r="F494" t="s">
        <v>9952</v>
      </c>
      <c r="G494" t="s">
        <v>74</v>
      </c>
      <c r="H494" t="s">
        <v>74</v>
      </c>
      <c r="I494" t="s">
        <v>9953</v>
      </c>
      <c r="J494" t="s">
        <v>9954</v>
      </c>
      <c r="K494" t="s">
        <v>74</v>
      </c>
      <c r="L494" t="s">
        <v>74</v>
      </c>
      <c r="M494" t="s">
        <v>74</v>
      </c>
      <c r="N494" t="s">
        <v>78</v>
      </c>
      <c r="O494" t="s">
        <v>74</v>
      </c>
      <c r="P494" t="s">
        <v>74</v>
      </c>
      <c r="Q494" t="s">
        <v>74</v>
      </c>
      <c r="R494" t="s">
        <v>74</v>
      </c>
      <c r="S494" t="s">
        <v>74</v>
      </c>
      <c r="T494" t="s">
        <v>9955</v>
      </c>
      <c r="U494" t="s">
        <v>9956</v>
      </c>
      <c r="V494" t="s">
        <v>9957</v>
      </c>
      <c r="W494" t="s">
        <v>9958</v>
      </c>
      <c r="X494" t="s">
        <v>9959</v>
      </c>
      <c r="Y494" t="s">
        <v>9960</v>
      </c>
      <c r="Z494" t="s">
        <v>9961</v>
      </c>
      <c r="AA494" t="s">
        <v>9606</v>
      </c>
      <c r="AB494" t="s">
        <v>9962</v>
      </c>
      <c r="AC494" t="s">
        <v>74</v>
      </c>
      <c r="AD494" t="s">
        <v>74</v>
      </c>
      <c r="AE494" t="s">
        <v>74</v>
      </c>
      <c r="AF494" t="s">
        <v>74</v>
      </c>
      <c r="AG494">
        <v>22</v>
      </c>
      <c r="AH494">
        <v>6</v>
      </c>
      <c r="AI494">
        <v>7</v>
      </c>
      <c r="AJ494">
        <v>0</v>
      </c>
      <c r="AK494">
        <v>0</v>
      </c>
      <c r="AL494" t="s">
        <v>74</v>
      </c>
      <c r="AM494" t="s">
        <v>74</v>
      </c>
      <c r="AN494" t="s">
        <v>74</v>
      </c>
      <c r="AO494" t="s">
        <v>9963</v>
      </c>
      <c r="AP494" t="s">
        <v>74</v>
      </c>
      <c r="AQ494" t="s">
        <v>74</v>
      </c>
      <c r="AR494" t="s">
        <v>74</v>
      </c>
      <c r="AS494" t="s">
        <v>74</v>
      </c>
      <c r="AT494" t="s">
        <v>9964</v>
      </c>
      <c r="AU494">
        <v>2014</v>
      </c>
      <c r="AV494">
        <v>2</v>
      </c>
      <c r="AW494">
        <v>2</v>
      </c>
      <c r="AX494" t="s">
        <v>74</v>
      </c>
      <c r="AY494" t="s">
        <v>74</v>
      </c>
      <c r="AZ494" t="s">
        <v>74</v>
      </c>
      <c r="BA494" t="s">
        <v>74</v>
      </c>
      <c r="BB494" t="s">
        <v>74</v>
      </c>
      <c r="BC494" t="s">
        <v>74</v>
      </c>
      <c r="BD494">
        <v>2324709614539280</v>
      </c>
      <c r="BE494" t="s">
        <v>9965</v>
      </c>
      <c r="BF494" t="str">
        <f>HYPERLINK("http://dx.doi.org/10.1177/2324709614539283","http://dx.doi.org/10.1177/2324709614539283")</f>
        <v>http://dx.doi.org/10.1177/2324709614539283</v>
      </c>
      <c r="BG494" t="s">
        <v>74</v>
      </c>
      <c r="BH494" t="s">
        <v>74</v>
      </c>
      <c r="BI494" t="s">
        <v>74</v>
      </c>
      <c r="BJ494" t="s">
        <v>802</v>
      </c>
      <c r="BK494" t="s">
        <v>91</v>
      </c>
      <c r="BL494" t="s">
        <v>803</v>
      </c>
      <c r="BM494" t="s">
        <v>74</v>
      </c>
      <c r="BN494">
        <v>26425612</v>
      </c>
      <c r="BO494" t="s">
        <v>74</v>
      </c>
      <c r="BP494" t="s">
        <v>74</v>
      </c>
      <c r="BQ494" t="s">
        <v>74</v>
      </c>
      <c r="BR494" t="s">
        <v>93</v>
      </c>
      <c r="BS494" t="s">
        <v>9966</v>
      </c>
      <c r="BT494" t="str">
        <f>HYPERLINK("https%3A%2F%2Fwww.webofscience.com%2Fwos%2Fwoscc%2Ffull-record%2FWOS:000457916800014","View Full Record in Web of Science")</f>
        <v>View Full Record in Web of Science</v>
      </c>
    </row>
    <row r="495" spans="1:72" x14ac:dyDescent="0.15">
      <c r="A495" t="s">
        <v>72</v>
      </c>
      <c r="B495" t="s">
        <v>10059</v>
      </c>
      <c r="C495" t="s">
        <v>74</v>
      </c>
      <c r="D495" t="s">
        <v>74</v>
      </c>
      <c r="E495" t="s">
        <v>74</v>
      </c>
      <c r="F495" t="s">
        <v>10060</v>
      </c>
      <c r="G495" t="s">
        <v>74</v>
      </c>
      <c r="H495" t="s">
        <v>74</v>
      </c>
      <c r="I495" t="s">
        <v>10061</v>
      </c>
      <c r="J495" t="s">
        <v>10062</v>
      </c>
      <c r="K495" t="s">
        <v>74</v>
      </c>
      <c r="L495" t="s">
        <v>74</v>
      </c>
      <c r="M495" t="s">
        <v>74</v>
      </c>
      <c r="N495" t="s">
        <v>78</v>
      </c>
      <c r="O495" t="s">
        <v>74</v>
      </c>
      <c r="P495" t="s">
        <v>74</v>
      </c>
      <c r="Q495" t="s">
        <v>74</v>
      </c>
      <c r="R495" t="s">
        <v>74</v>
      </c>
      <c r="S495" t="s">
        <v>74</v>
      </c>
      <c r="T495" t="s">
        <v>10063</v>
      </c>
      <c r="U495" t="s">
        <v>10064</v>
      </c>
      <c r="V495" t="s">
        <v>10065</v>
      </c>
      <c r="W495" t="s">
        <v>10066</v>
      </c>
      <c r="X495" t="s">
        <v>10067</v>
      </c>
      <c r="Y495" t="s">
        <v>10068</v>
      </c>
      <c r="Z495" t="s">
        <v>10069</v>
      </c>
      <c r="AA495" t="s">
        <v>74</v>
      </c>
      <c r="AB495" t="s">
        <v>74</v>
      </c>
      <c r="AC495" t="s">
        <v>74</v>
      </c>
      <c r="AD495" t="s">
        <v>74</v>
      </c>
      <c r="AE495" t="s">
        <v>74</v>
      </c>
      <c r="AF495" t="s">
        <v>74</v>
      </c>
      <c r="AG495">
        <v>60</v>
      </c>
      <c r="AH495">
        <v>6</v>
      </c>
      <c r="AI495">
        <v>6</v>
      </c>
      <c r="AJ495">
        <v>1</v>
      </c>
      <c r="AK495">
        <v>4</v>
      </c>
      <c r="AL495" t="s">
        <v>74</v>
      </c>
      <c r="AM495" t="s">
        <v>74</v>
      </c>
      <c r="AN495" t="s">
        <v>74</v>
      </c>
      <c r="AO495" t="s">
        <v>10070</v>
      </c>
      <c r="AP495" t="s">
        <v>10071</v>
      </c>
      <c r="AQ495" t="s">
        <v>74</v>
      </c>
      <c r="AR495" t="s">
        <v>74</v>
      </c>
      <c r="AS495" t="s">
        <v>74</v>
      </c>
      <c r="AT495" t="s">
        <v>171</v>
      </c>
      <c r="AU495">
        <v>2015</v>
      </c>
      <c r="AV495">
        <v>159</v>
      </c>
      <c r="AW495" t="s">
        <v>74</v>
      </c>
      <c r="AX495" t="s">
        <v>74</v>
      </c>
      <c r="AY495" t="s">
        <v>74</v>
      </c>
      <c r="AZ495" t="s">
        <v>74</v>
      </c>
      <c r="BA495" t="s">
        <v>74</v>
      </c>
      <c r="BB495">
        <v>168</v>
      </c>
      <c r="BC495">
        <v>182</v>
      </c>
      <c r="BD495" t="s">
        <v>74</v>
      </c>
      <c r="BE495" t="s">
        <v>10072</v>
      </c>
      <c r="BF495" t="str">
        <f>HYPERLINK("http://dx.doi.org/10.1016/j.exppara.2015.09.014","http://dx.doi.org/10.1016/j.exppara.2015.09.014")</f>
        <v>http://dx.doi.org/10.1016/j.exppara.2015.09.014</v>
      </c>
      <c r="BG495" t="s">
        <v>74</v>
      </c>
      <c r="BH495" t="s">
        <v>74</v>
      </c>
      <c r="BI495" t="s">
        <v>74</v>
      </c>
      <c r="BJ495" t="s">
        <v>10073</v>
      </c>
      <c r="BK495" t="s">
        <v>112</v>
      </c>
      <c r="BL495" t="s">
        <v>10073</v>
      </c>
      <c r="BM495" t="s">
        <v>74</v>
      </c>
      <c r="BN495">
        <v>26431820</v>
      </c>
      <c r="BO495" t="s">
        <v>74</v>
      </c>
      <c r="BP495" t="s">
        <v>74</v>
      </c>
      <c r="BQ495" t="s">
        <v>74</v>
      </c>
      <c r="BR495" t="s">
        <v>93</v>
      </c>
      <c r="BS495" t="s">
        <v>10074</v>
      </c>
      <c r="BT495" t="str">
        <f>HYPERLINK("https%3A%2F%2Fwww.webofscience.com%2Fwos%2Fwoscc%2Ffull-record%2FWOS:000366442900022","View Full Record in Web of Science")</f>
        <v>View Full Record in Web of Science</v>
      </c>
    </row>
    <row r="496" spans="1:72" x14ac:dyDescent="0.15">
      <c r="A496" t="s">
        <v>72</v>
      </c>
      <c r="B496" t="s">
        <v>10174</v>
      </c>
      <c r="C496" t="s">
        <v>74</v>
      </c>
      <c r="D496" t="s">
        <v>74</v>
      </c>
      <c r="E496" t="s">
        <v>74</v>
      </c>
      <c r="F496" t="s">
        <v>10175</v>
      </c>
      <c r="G496" t="s">
        <v>74</v>
      </c>
      <c r="H496" t="s">
        <v>74</v>
      </c>
      <c r="I496" t="s">
        <v>10176</v>
      </c>
      <c r="J496" t="s">
        <v>1184</v>
      </c>
      <c r="K496" t="s">
        <v>74</v>
      </c>
      <c r="L496" t="s">
        <v>74</v>
      </c>
      <c r="M496" t="s">
        <v>74</v>
      </c>
      <c r="N496" t="s">
        <v>78</v>
      </c>
      <c r="O496" t="s">
        <v>74</v>
      </c>
      <c r="P496" t="s">
        <v>74</v>
      </c>
      <c r="Q496" t="s">
        <v>74</v>
      </c>
      <c r="R496" t="s">
        <v>74</v>
      </c>
      <c r="S496" t="s">
        <v>74</v>
      </c>
      <c r="T496" t="s">
        <v>10177</v>
      </c>
      <c r="U496" t="s">
        <v>10178</v>
      </c>
      <c r="V496" t="s">
        <v>10179</v>
      </c>
      <c r="W496" t="s">
        <v>10180</v>
      </c>
      <c r="X496" t="s">
        <v>2680</v>
      </c>
      <c r="Y496" t="s">
        <v>2681</v>
      </c>
      <c r="Z496" t="s">
        <v>2682</v>
      </c>
      <c r="AA496" t="s">
        <v>74</v>
      </c>
      <c r="AB496" t="s">
        <v>74</v>
      </c>
      <c r="AC496" t="s">
        <v>74</v>
      </c>
      <c r="AD496" t="s">
        <v>74</v>
      </c>
      <c r="AE496" t="s">
        <v>74</v>
      </c>
      <c r="AF496" t="s">
        <v>74</v>
      </c>
      <c r="AG496">
        <v>32</v>
      </c>
      <c r="AH496">
        <v>6</v>
      </c>
      <c r="AI496">
        <v>6</v>
      </c>
      <c r="AJ496">
        <v>25</v>
      </c>
      <c r="AK496">
        <v>52</v>
      </c>
      <c r="AL496" t="s">
        <v>74</v>
      </c>
      <c r="AM496" t="s">
        <v>74</v>
      </c>
      <c r="AN496" t="s">
        <v>74</v>
      </c>
      <c r="AO496" t="s">
        <v>1193</v>
      </c>
      <c r="AP496" t="s">
        <v>1194</v>
      </c>
      <c r="AQ496" t="s">
        <v>74</v>
      </c>
      <c r="AR496" t="s">
        <v>74</v>
      </c>
      <c r="AS496" t="s">
        <v>74</v>
      </c>
      <c r="AT496" t="s">
        <v>955</v>
      </c>
      <c r="AU496">
        <v>2021</v>
      </c>
      <c r="AV496">
        <v>235</v>
      </c>
      <c r="AW496" t="s">
        <v>74</v>
      </c>
      <c r="AX496" t="s">
        <v>74</v>
      </c>
      <c r="AY496" t="s">
        <v>74</v>
      </c>
      <c r="AZ496" t="s">
        <v>74</v>
      </c>
      <c r="BA496" t="s">
        <v>74</v>
      </c>
      <c r="BB496" t="s">
        <v>74</v>
      </c>
      <c r="BC496" t="s">
        <v>74</v>
      </c>
      <c r="BD496">
        <v>122790</v>
      </c>
      <c r="BE496" t="s">
        <v>10181</v>
      </c>
      <c r="BF496" t="str">
        <f>HYPERLINK("http://dx.doi.org/10.1016/j.talanta.2021.122790","http://dx.doi.org/10.1016/j.talanta.2021.122790")</f>
        <v>http://dx.doi.org/10.1016/j.talanta.2021.122790</v>
      </c>
      <c r="BG496" t="s">
        <v>74</v>
      </c>
      <c r="BH496" t="s">
        <v>661</v>
      </c>
      <c r="BI496" t="s">
        <v>74</v>
      </c>
      <c r="BJ496" t="s">
        <v>1196</v>
      </c>
      <c r="BK496" t="s">
        <v>112</v>
      </c>
      <c r="BL496" t="s">
        <v>1197</v>
      </c>
      <c r="BM496" t="s">
        <v>74</v>
      </c>
      <c r="BN496">
        <v>34517648</v>
      </c>
      <c r="BO496" t="s">
        <v>74</v>
      </c>
      <c r="BP496" t="s">
        <v>74</v>
      </c>
      <c r="BQ496" t="s">
        <v>74</v>
      </c>
      <c r="BR496" t="s">
        <v>93</v>
      </c>
      <c r="BS496" t="s">
        <v>10182</v>
      </c>
      <c r="BT496" t="str">
        <f>HYPERLINK("https%3A%2F%2Fwww.webofscience.com%2Fwos%2Fwoscc%2Ffull-record%2FWOS:000701202700006","View Full Record in Web of Science")</f>
        <v>View Full Record in Web of Science</v>
      </c>
    </row>
    <row r="497" spans="1:72" x14ac:dyDescent="0.15">
      <c r="A497" t="s">
        <v>72</v>
      </c>
      <c r="B497" t="s">
        <v>10415</v>
      </c>
      <c r="C497" t="s">
        <v>74</v>
      </c>
      <c r="D497" t="s">
        <v>74</v>
      </c>
      <c r="E497" t="s">
        <v>74</v>
      </c>
      <c r="F497" t="s">
        <v>10416</v>
      </c>
      <c r="G497" t="s">
        <v>74</v>
      </c>
      <c r="H497" t="s">
        <v>74</v>
      </c>
      <c r="I497" t="s">
        <v>10417</v>
      </c>
      <c r="J497" t="s">
        <v>10186</v>
      </c>
      <c r="K497" t="s">
        <v>74</v>
      </c>
      <c r="L497" t="s">
        <v>74</v>
      </c>
      <c r="M497" t="s">
        <v>74</v>
      </c>
      <c r="N497" t="s">
        <v>78</v>
      </c>
      <c r="O497" t="s">
        <v>74</v>
      </c>
      <c r="P497" t="s">
        <v>74</v>
      </c>
      <c r="Q497" t="s">
        <v>74</v>
      </c>
      <c r="R497" t="s">
        <v>74</v>
      </c>
      <c r="S497" t="s">
        <v>74</v>
      </c>
      <c r="T497" t="s">
        <v>74</v>
      </c>
      <c r="U497" t="s">
        <v>10418</v>
      </c>
      <c r="V497" t="s">
        <v>10419</v>
      </c>
      <c r="W497" t="s">
        <v>10420</v>
      </c>
      <c r="X497" t="s">
        <v>10421</v>
      </c>
      <c r="Y497" t="s">
        <v>10422</v>
      </c>
      <c r="Z497" t="s">
        <v>10423</v>
      </c>
      <c r="AA497" t="s">
        <v>74</v>
      </c>
      <c r="AB497" t="s">
        <v>10424</v>
      </c>
      <c r="AC497" t="s">
        <v>74</v>
      </c>
      <c r="AD497" t="s">
        <v>74</v>
      </c>
      <c r="AE497" t="s">
        <v>74</v>
      </c>
      <c r="AF497" t="s">
        <v>74</v>
      </c>
      <c r="AG497">
        <v>55</v>
      </c>
      <c r="AH497">
        <v>6</v>
      </c>
      <c r="AI497">
        <v>7</v>
      </c>
      <c r="AJ497">
        <v>0</v>
      </c>
      <c r="AK497">
        <v>8</v>
      </c>
      <c r="AL497" t="s">
        <v>74</v>
      </c>
      <c r="AM497" t="s">
        <v>74</v>
      </c>
      <c r="AN497" t="s">
        <v>74</v>
      </c>
      <c r="AO497" t="s">
        <v>10425</v>
      </c>
      <c r="AP497" t="s">
        <v>10195</v>
      </c>
      <c r="AQ497" t="s">
        <v>74</v>
      </c>
      <c r="AR497" t="s">
        <v>74</v>
      </c>
      <c r="AS497" t="s">
        <v>74</v>
      </c>
      <c r="AT497" t="s">
        <v>1111</v>
      </c>
      <c r="AU497">
        <v>2017</v>
      </c>
      <c r="AV497">
        <v>16</v>
      </c>
      <c r="AW497">
        <v>5</v>
      </c>
      <c r="AX497" t="s">
        <v>74</v>
      </c>
      <c r="AY497" t="s">
        <v>74</v>
      </c>
      <c r="AZ497" t="s">
        <v>74</v>
      </c>
      <c r="BA497" t="s">
        <v>74</v>
      </c>
      <c r="BB497">
        <v>911</v>
      </c>
      <c r="BC497">
        <v>923</v>
      </c>
      <c r="BD497" t="s">
        <v>74</v>
      </c>
      <c r="BE497" t="s">
        <v>10426</v>
      </c>
      <c r="BF497" t="str">
        <f>HYPERLINK("http://dx.doi.org/10.1074/mcp.M116.064576","http://dx.doi.org/10.1074/mcp.M116.064576")</f>
        <v>http://dx.doi.org/10.1074/mcp.M116.064576</v>
      </c>
      <c r="BG497" t="s">
        <v>74</v>
      </c>
      <c r="BH497" t="s">
        <v>74</v>
      </c>
      <c r="BI497" t="s">
        <v>74</v>
      </c>
      <c r="BJ497" t="s">
        <v>90</v>
      </c>
      <c r="BK497" t="s">
        <v>112</v>
      </c>
      <c r="BL497" t="s">
        <v>92</v>
      </c>
      <c r="BM497" t="s">
        <v>74</v>
      </c>
      <c r="BN497">
        <v>28232516</v>
      </c>
      <c r="BO497" t="s">
        <v>74</v>
      </c>
      <c r="BP497" t="s">
        <v>74</v>
      </c>
      <c r="BQ497" t="s">
        <v>74</v>
      </c>
      <c r="BR497" t="s">
        <v>93</v>
      </c>
      <c r="BS497" t="s">
        <v>10427</v>
      </c>
      <c r="BT497" t="str">
        <f>HYPERLINK("https%3A%2F%2Fwww.webofscience.com%2Fwos%2Fwoscc%2Ffull-record%2FWOS:000400759600015","View Full Record in Web of Science")</f>
        <v>View Full Record in Web of Science</v>
      </c>
    </row>
    <row r="498" spans="1:72" x14ac:dyDescent="0.15">
      <c r="A498" t="s">
        <v>72</v>
      </c>
      <c r="B498" t="s">
        <v>10603</v>
      </c>
      <c r="C498" t="s">
        <v>74</v>
      </c>
      <c r="D498" t="s">
        <v>74</v>
      </c>
      <c r="E498" t="s">
        <v>74</v>
      </c>
      <c r="F498" t="s">
        <v>10604</v>
      </c>
      <c r="G498" t="s">
        <v>74</v>
      </c>
      <c r="H498" t="s">
        <v>74</v>
      </c>
      <c r="I498" t="s">
        <v>10605</v>
      </c>
      <c r="J498" t="s">
        <v>2688</v>
      </c>
      <c r="K498" t="s">
        <v>74</v>
      </c>
      <c r="L498" t="s">
        <v>74</v>
      </c>
      <c r="M498" t="s">
        <v>74</v>
      </c>
      <c r="N498" t="s">
        <v>78</v>
      </c>
      <c r="O498" t="s">
        <v>74</v>
      </c>
      <c r="P498" t="s">
        <v>74</v>
      </c>
      <c r="Q498" t="s">
        <v>74</v>
      </c>
      <c r="R498" t="s">
        <v>74</v>
      </c>
      <c r="S498" t="s">
        <v>74</v>
      </c>
      <c r="T498" t="s">
        <v>10606</v>
      </c>
      <c r="U498" t="s">
        <v>10607</v>
      </c>
      <c r="V498" t="s">
        <v>10608</v>
      </c>
      <c r="W498" t="s">
        <v>10609</v>
      </c>
      <c r="X498" t="s">
        <v>10610</v>
      </c>
      <c r="Y498" t="s">
        <v>10611</v>
      </c>
      <c r="Z498" t="s">
        <v>10612</v>
      </c>
      <c r="AA498" t="s">
        <v>74</v>
      </c>
      <c r="AB498" t="s">
        <v>10613</v>
      </c>
      <c r="AC498" t="s">
        <v>74</v>
      </c>
      <c r="AD498" t="s">
        <v>74</v>
      </c>
      <c r="AE498" t="s">
        <v>74</v>
      </c>
      <c r="AF498" t="s">
        <v>74</v>
      </c>
      <c r="AG498">
        <v>29</v>
      </c>
      <c r="AH498">
        <v>6</v>
      </c>
      <c r="AI498">
        <v>6</v>
      </c>
      <c r="AJ498">
        <v>0</v>
      </c>
      <c r="AK498">
        <v>1</v>
      </c>
      <c r="AL498" t="s">
        <v>74</v>
      </c>
      <c r="AM498" t="s">
        <v>74</v>
      </c>
      <c r="AN498" t="s">
        <v>74</v>
      </c>
      <c r="AO498" t="s">
        <v>2697</v>
      </c>
      <c r="AP498" t="s">
        <v>2698</v>
      </c>
      <c r="AQ498" t="s">
        <v>74</v>
      </c>
      <c r="AR498" t="s">
        <v>74</v>
      </c>
      <c r="AS498" t="s">
        <v>74</v>
      </c>
      <c r="AT498" t="s">
        <v>4794</v>
      </c>
      <c r="AU498">
        <v>2017</v>
      </c>
      <c r="AV498">
        <v>491</v>
      </c>
      <c r="AW498">
        <v>4</v>
      </c>
      <c r="AX498" t="s">
        <v>74</v>
      </c>
      <c r="AY498" t="s">
        <v>74</v>
      </c>
      <c r="AZ498" t="s">
        <v>74</v>
      </c>
      <c r="BA498" t="s">
        <v>74</v>
      </c>
      <c r="BB498">
        <v>953</v>
      </c>
      <c r="BC498">
        <v>957</v>
      </c>
      <c r="BD498" t="s">
        <v>74</v>
      </c>
      <c r="BE498" t="s">
        <v>10614</v>
      </c>
      <c r="BF498" t="str">
        <f>HYPERLINK("http://dx.doi.org/10.1016/j.bbrc.2017.07.141","http://dx.doi.org/10.1016/j.bbrc.2017.07.141")</f>
        <v>http://dx.doi.org/10.1016/j.bbrc.2017.07.141</v>
      </c>
      <c r="BG498" t="s">
        <v>74</v>
      </c>
      <c r="BH498" t="s">
        <v>74</v>
      </c>
      <c r="BI498" t="s">
        <v>74</v>
      </c>
      <c r="BJ498" t="s">
        <v>2701</v>
      </c>
      <c r="BK498" t="s">
        <v>112</v>
      </c>
      <c r="BL498" t="s">
        <v>2701</v>
      </c>
      <c r="BM498" t="s">
        <v>74</v>
      </c>
      <c r="BN498">
        <v>28756229</v>
      </c>
      <c r="BO498" t="s">
        <v>74</v>
      </c>
      <c r="BP498" t="s">
        <v>74</v>
      </c>
      <c r="BQ498" t="s">
        <v>74</v>
      </c>
      <c r="BR498" t="s">
        <v>93</v>
      </c>
      <c r="BS498" t="s">
        <v>10615</v>
      </c>
      <c r="BT498" t="str">
        <f>HYPERLINK("https%3A%2F%2Fwww.webofscience.com%2Fwos%2Fwoscc%2Ffull-record%2FWOS:000411169800014","View Full Record in Web of Science")</f>
        <v>View Full Record in Web of Science</v>
      </c>
    </row>
    <row r="499" spans="1:72" x14ac:dyDescent="0.15">
      <c r="A499" t="s">
        <v>312</v>
      </c>
      <c r="B499" t="s">
        <v>454</v>
      </c>
      <c r="C499" t="s">
        <v>74</v>
      </c>
      <c r="D499" t="s">
        <v>455</v>
      </c>
      <c r="E499" t="s">
        <v>74</v>
      </c>
      <c r="F499" t="s">
        <v>456</v>
      </c>
      <c r="G499" t="s">
        <v>74</v>
      </c>
      <c r="H499" t="s">
        <v>74</v>
      </c>
      <c r="I499" t="s">
        <v>457</v>
      </c>
      <c r="J499" t="s">
        <v>458</v>
      </c>
      <c r="K499" t="s">
        <v>318</v>
      </c>
      <c r="L499" t="s">
        <v>74</v>
      </c>
      <c r="M499" t="s">
        <v>74</v>
      </c>
      <c r="N499" t="s">
        <v>319</v>
      </c>
      <c r="O499" t="s">
        <v>74</v>
      </c>
      <c r="P499" t="s">
        <v>74</v>
      </c>
      <c r="Q499" t="s">
        <v>74</v>
      </c>
      <c r="R499" t="s">
        <v>74</v>
      </c>
      <c r="S499" t="s">
        <v>74</v>
      </c>
      <c r="T499" t="s">
        <v>459</v>
      </c>
      <c r="U499" t="s">
        <v>460</v>
      </c>
      <c r="V499" t="s">
        <v>461</v>
      </c>
      <c r="W499" t="s">
        <v>462</v>
      </c>
      <c r="X499" t="s">
        <v>463</v>
      </c>
      <c r="Y499" t="s">
        <v>464</v>
      </c>
      <c r="Z499" t="s">
        <v>74</v>
      </c>
      <c r="AA499" t="s">
        <v>74</v>
      </c>
      <c r="AB499" t="s">
        <v>465</v>
      </c>
      <c r="AC499" t="s">
        <v>74</v>
      </c>
      <c r="AD499" t="s">
        <v>74</v>
      </c>
      <c r="AE499" t="s">
        <v>74</v>
      </c>
      <c r="AF499" t="s">
        <v>74</v>
      </c>
      <c r="AG499">
        <v>15</v>
      </c>
      <c r="AH499">
        <v>5</v>
      </c>
      <c r="AI499">
        <v>5</v>
      </c>
      <c r="AJ499">
        <v>4</v>
      </c>
      <c r="AK499">
        <v>7</v>
      </c>
      <c r="AL499" t="s">
        <v>74</v>
      </c>
      <c r="AM499" t="s">
        <v>74</v>
      </c>
      <c r="AN499" t="s">
        <v>74</v>
      </c>
      <c r="AO499" t="s">
        <v>328</v>
      </c>
      <c r="AP499" t="s">
        <v>329</v>
      </c>
      <c r="AQ499" t="s">
        <v>466</v>
      </c>
      <c r="AR499" t="s">
        <v>74</v>
      </c>
      <c r="AS499" t="s">
        <v>74</v>
      </c>
      <c r="AT499" t="s">
        <v>74</v>
      </c>
      <c r="AU499">
        <v>2021</v>
      </c>
      <c r="AV499">
        <v>2261</v>
      </c>
      <c r="AW499" t="s">
        <v>74</v>
      </c>
      <c r="AX499" t="s">
        <v>74</v>
      </c>
      <c r="AY499" t="s">
        <v>74</v>
      </c>
      <c r="AZ499" t="s">
        <v>74</v>
      </c>
      <c r="BA499" t="s">
        <v>74</v>
      </c>
      <c r="BB499">
        <v>193</v>
      </c>
      <c r="BC499">
        <v>206</v>
      </c>
      <c r="BD499" t="s">
        <v>74</v>
      </c>
      <c r="BE499" t="s">
        <v>467</v>
      </c>
      <c r="BF499" t="str">
        <f>HYPERLINK("http://dx.doi.org/10.1007/978-1-0716-1186-9_11","http://dx.doi.org/10.1007/978-1-0716-1186-9_11")</f>
        <v>http://dx.doi.org/10.1007/978-1-0716-1186-9_11</v>
      </c>
      <c r="BG499" t="s">
        <v>468</v>
      </c>
      <c r="BH499" t="s">
        <v>74</v>
      </c>
      <c r="BI499" t="s">
        <v>74</v>
      </c>
      <c r="BJ499" t="s">
        <v>469</v>
      </c>
      <c r="BK499" t="s">
        <v>334</v>
      </c>
      <c r="BL499" t="s">
        <v>92</v>
      </c>
      <c r="BM499" t="s">
        <v>74</v>
      </c>
      <c r="BN499">
        <v>33420990</v>
      </c>
      <c r="BO499" t="s">
        <v>74</v>
      </c>
      <c r="BP499" t="s">
        <v>74</v>
      </c>
      <c r="BQ499" t="s">
        <v>74</v>
      </c>
      <c r="BR499" t="s">
        <v>93</v>
      </c>
      <c r="BS499" t="s">
        <v>470</v>
      </c>
      <c r="BT499" t="str">
        <f>HYPERLINK("https%3A%2F%2Fwww.webofscience.com%2Fwos%2Fwoscc%2Ffull-record%2FWOS:000688758500012","View Full Record in Web of Science")</f>
        <v>View Full Record in Web of Science</v>
      </c>
    </row>
    <row r="500" spans="1:72" x14ac:dyDescent="0.15">
      <c r="A500" t="s">
        <v>72</v>
      </c>
      <c r="B500" t="s">
        <v>1114</v>
      </c>
      <c r="C500" t="s">
        <v>74</v>
      </c>
      <c r="D500" t="s">
        <v>74</v>
      </c>
      <c r="E500" t="s">
        <v>74</v>
      </c>
      <c r="F500" t="s">
        <v>1115</v>
      </c>
      <c r="G500" t="s">
        <v>74</v>
      </c>
      <c r="H500" t="s">
        <v>1116</v>
      </c>
      <c r="I500" t="s">
        <v>1117</v>
      </c>
      <c r="J500" t="s">
        <v>1118</v>
      </c>
      <c r="K500" t="s">
        <v>74</v>
      </c>
      <c r="L500" t="s">
        <v>74</v>
      </c>
      <c r="M500" t="s">
        <v>74</v>
      </c>
      <c r="N500" t="s">
        <v>78</v>
      </c>
      <c r="O500" t="s">
        <v>74</v>
      </c>
      <c r="P500" t="s">
        <v>74</v>
      </c>
      <c r="Q500" t="s">
        <v>74</v>
      </c>
      <c r="R500" t="s">
        <v>74</v>
      </c>
      <c r="S500" t="s">
        <v>74</v>
      </c>
      <c r="T500" t="s">
        <v>1119</v>
      </c>
      <c r="U500" t="s">
        <v>1120</v>
      </c>
      <c r="V500" t="s">
        <v>1121</v>
      </c>
      <c r="W500" t="s">
        <v>1122</v>
      </c>
      <c r="X500" t="s">
        <v>1123</v>
      </c>
      <c r="Y500" t="s">
        <v>1124</v>
      </c>
      <c r="Z500" t="s">
        <v>1125</v>
      </c>
      <c r="AA500" t="s">
        <v>1126</v>
      </c>
      <c r="AB500" t="s">
        <v>1127</v>
      </c>
      <c r="AC500" t="s">
        <v>74</v>
      </c>
      <c r="AD500" t="s">
        <v>74</v>
      </c>
      <c r="AE500" t="s">
        <v>74</v>
      </c>
      <c r="AF500" t="s">
        <v>74</v>
      </c>
      <c r="AG500">
        <v>50</v>
      </c>
      <c r="AH500">
        <v>5</v>
      </c>
      <c r="AI500">
        <v>5</v>
      </c>
      <c r="AJ500">
        <v>5</v>
      </c>
      <c r="AK500">
        <v>6</v>
      </c>
      <c r="AL500" t="s">
        <v>74</v>
      </c>
      <c r="AM500" t="s">
        <v>74</v>
      </c>
      <c r="AN500" t="s">
        <v>74</v>
      </c>
      <c r="AO500" t="s">
        <v>1128</v>
      </c>
      <c r="AP500" t="s">
        <v>1129</v>
      </c>
      <c r="AQ500" t="s">
        <v>74</v>
      </c>
      <c r="AR500" t="s">
        <v>74</v>
      </c>
      <c r="AS500" t="s">
        <v>74</v>
      </c>
      <c r="AT500" t="s">
        <v>1130</v>
      </c>
      <c r="AU500">
        <v>2022</v>
      </c>
      <c r="AV500">
        <v>225</v>
      </c>
      <c r="AW500">
        <v>6</v>
      </c>
      <c r="AX500" t="s">
        <v>74</v>
      </c>
      <c r="AY500" t="s">
        <v>74</v>
      </c>
      <c r="AZ500" t="s">
        <v>74</v>
      </c>
      <c r="BA500" t="s">
        <v>74</v>
      </c>
      <c r="BB500">
        <v>1040</v>
      </c>
      <c r="BC500">
        <v>1049</v>
      </c>
      <c r="BD500" t="s">
        <v>74</v>
      </c>
      <c r="BE500" t="s">
        <v>1131</v>
      </c>
      <c r="BF500" t="str">
        <f>HYPERLINK("http://dx.doi.org/10.1093/infdis/jiaa375","http://dx.doi.org/10.1093/infdis/jiaa375")</f>
        <v>http://dx.doi.org/10.1093/infdis/jiaa375</v>
      </c>
      <c r="BG500" t="s">
        <v>74</v>
      </c>
      <c r="BH500" t="s">
        <v>74</v>
      </c>
      <c r="BI500" t="s">
        <v>74</v>
      </c>
      <c r="BJ500" t="s">
        <v>1132</v>
      </c>
      <c r="BK500" t="s">
        <v>112</v>
      </c>
      <c r="BL500" t="s">
        <v>1132</v>
      </c>
      <c r="BM500" t="s">
        <v>74</v>
      </c>
      <c r="BN500">
        <v>32603406</v>
      </c>
      <c r="BO500" t="s">
        <v>74</v>
      </c>
      <c r="BP500" t="s">
        <v>74</v>
      </c>
      <c r="BQ500" t="s">
        <v>74</v>
      </c>
      <c r="BR500" t="s">
        <v>93</v>
      </c>
      <c r="BS500" t="s">
        <v>1133</v>
      </c>
      <c r="BT500" t="str">
        <f>HYPERLINK("https%3A%2F%2Fwww.webofscience.com%2Fwos%2Fwoscc%2Ffull-record%2FWOS:000769069400015","View Full Record in Web of Science")</f>
        <v>View Full Record in Web of Science</v>
      </c>
    </row>
    <row r="501" spans="1:72" x14ac:dyDescent="0.15">
      <c r="A501" t="s">
        <v>72</v>
      </c>
      <c r="B501" t="s">
        <v>1591</v>
      </c>
      <c r="C501" t="s">
        <v>74</v>
      </c>
      <c r="D501" t="s">
        <v>74</v>
      </c>
      <c r="E501" t="s">
        <v>74</v>
      </c>
      <c r="F501" t="s">
        <v>1592</v>
      </c>
      <c r="G501" t="s">
        <v>74</v>
      </c>
      <c r="H501" t="s">
        <v>74</v>
      </c>
      <c r="I501" t="s">
        <v>1593</v>
      </c>
      <c r="J501" t="s">
        <v>406</v>
      </c>
      <c r="K501" t="s">
        <v>74</v>
      </c>
      <c r="L501" t="s">
        <v>74</v>
      </c>
      <c r="M501" t="s">
        <v>74</v>
      </c>
      <c r="N501" t="s">
        <v>78</v>
      </c>
      <c r="O501" t="s">
        <v>74</v>
      </c>
      <c r="P501" t="s">
        <v>74</v>
      </c>
      <c r="Q501" t="s">
        <v>74</v>
      </c>
      <c r="R501" t="s">
        <v>74</v>
      </c>
      <c r="S501" t="s">
        <v>74</v>
      </c>
      <c r="T501" t="s">
        <v>1594</v>
      </c>
      <c r="U501" t="s">
        <v>1595</v>
      </c>
      <c r="V501" t="s">
        <v>1596</v>
      </c>
      <c r="W501" t="s">
        <v>1597</v>
      </c>
      <c r="X501" t="s">
        <v>1598</v>
      </c>
      <c r="Y501" t="s">
        <v>1599</v>
      </c>
      <c r="Z501" t="s">
        <v>1600</v>
      </c>
      <c r="AA501" t="s">
        <v>1601</v>
      </c>
      <c r="AB501" t="s">
        <v>1602</v>
      </c>
      <c r="AC501" t="s">
        <v>74</v>
      </c>
      <c r="AD501" t="s">
        <v>74</v>
      </c>
      <c r="AE501" t="s">
        <v>74</v>
      </c>
      <c r="AF501" t="s">
        <v>74</v>
      </c>
      <c r="AG501">
        <v>49</v>
      </c>
      <c r="AH501">
        <v>5</v>
      </c>
      <c r="AI501">
        <v>5</v>
      </c>
      <c r="AJ501">
        <v>2</v>
      </c>
      <c r="AK501">
        <v>7</v>
      </c>
      <c r="AL501" t="s">
        <v>74</v>
      </c>
      <c r="AM501" t="s">
        <v>74</v>
      </c>
      <c r="AN501" t="s">
        <v>74</v>
      </c>
      <c r="AO501" t="s">
        <v>74</v>
      </c>
      <c r="AP501" t="s">
        <v>416</v>
      </c>
      <c r="AQ501" t="s">
        <v>74</v>
      </c>
      <c r="AR501" t="s">
        <v>74</v>
      </c>
      <c r="AS501" t="s">
        <v>74</v>
      </c>
      <c r="AT501" t="s">
        <v>503</v>
      </c>
      <c r="AU501">
        <v>2021</v>
      </c>
      <c r="AV501">
        <v>10</v>
      </c>
      <c r="AW501">
        <v>9</v>
      </c>
      <c r="AX501" t="s">
        <v>74</v>
      </c>
      <c r="AY501" t="s">
        <v>74</v>
      </c>
      <c r="AZ501" t="s">
        <v>74</v>
      </c>
      <c r="BA501" t="s">
        <v>74</v>
      </c>
      <c r="BB501" t="s">
        <v>74</v>
      </c>
      <c r="BC501" t="s">
        <v>74</v>
      </c>
      <c r="BD501" t="s">
        <v>1603</v>
      </c>
      <c r="BE501" t="s">
        <v>1604</v>
      </c>
      <c r="BF501" t="str">
        <f>HYPERLINK("http://dx.doi.org/10.1002/jev2.12121","http://dx.doi.org/10.1002/jev2.12121")</f>
        <v>http://dx.doi.org/10.1002/jev2.12121</v>
      </c>
      <c r="BG501" t="s">
        <v>74</v>
      </c>
      <c r="BH501" t="s">
        <v>74</v>
      </c>
      <c r="BI501" t="s">
        <v>74</v>
      </c>
      <c r="BJ501" t="s">
        <v>419</v>
      </c>
      <c r="BK501" t="s">
        <v>112</v>
      </c>
      <c r="BL501" t="s">
        <v>419</v>
      </c>
      <c r="BM501" t="s">
        <v>74</v>
      </c>
      <c r="BN501">
        <v>34295456</v>
      </c>
      <c r="BO501" t="s">
        <v>74</v>
      </c>
      <c r="BP501" t="s">
        <v>74</v>
      </c>
      <c r="BQ501" t="s">
        <v>74</v>
      </c>
      <c r="BR501" t="s">
        <v>93</v>
      </c>
      <c r="BS501" t="s">
        <v>1605</v>
      </c>
      <c r="BT501" t="str">
        <f>HYPERLINK("https%3A%2F%2Fwww.webofscience.com%2Fwos%2Fwoscc%2Ffull-record%2FWOS:000674092100001","View Full Record in Web of Science")</f>
        <v>View Full Record in Web of Science</v>
      </c>
    </row>
    <row r="502" spans="1:72" x14ac:dyDescent="0.15">
      <c r="A502" t="s">
        <v>72</v>
      </c>
      <c r="B502" t="s">
        <v>2246</v>
      </c>
      <c r="C502" t="s">
        <v>74</v>
      </c>
      <c r="D502" t="s">
        <v>74</v>
      </c>
      <c r="E502" t="s">
        <v>74</v>
      </c>
      <c r="F502" t="s">
        <v>2247</v>
      </c>
      <c r="G502" t="s">
        <v>74</v>
      </c>
      <c r="H502" t="s">
        <v>74</v>
      </c>
      <c r="I502" t="s">
        <v>2248</v>
      </c>
      <c r="J502" t="s">
        <v>667</v>
      </c>
      <c r="K502" t="s">
        <v>74</v>
      </c>
      <c r="L502" t="s">
        <v>74</v>
      </c>
      <c r="M502" t="s">
        <v>74</v>
      </c>
      <c r="N502" t="s">
        <v>78</v>
      </c>
      <c r="O502" t="s">
        <v>74</v>
      </c>
      <c r="P502" t="s">
        <v>74</v>
      </c>
      <c r="Q502" t="s">
        <v>74</v>
      </c>
      <c r="R502" t="s">
        <v>74</v>
      </c>
      <c r="S502" t="s">
        <v>74</v>
      </c>
      <c r="T502" t="s">
        <v>2249</v>
      </c>
      <c r="U502" t="s">
        <v>2250</v>
      </c>
      <c r="V502" t="s">
        <v>2251</v>
      </c>
      <c r="W502" t="s">
        <v>2252</v>
      </c>
      <c r="X502" t="s">
        <v>2253</v>
      </c>
      <c r="Y502" t="s">
        <v>2254</v>
      </c>
      <c r="Z502" t="s">
        <v>2255</v>
      </c>
      <c r="AA502" t="s">
        <v>2256</v>
      </c>
      <c r="AB502" t="s">
        <v>2257</v>
      </c>
      <c r="AC502" t="s">
        <v>74</v>
      </c>
      <c r="AD502" t="s">
        <v>74</v>
      </c>
      <c r="AE502" t="s">
        <v>74</v>
      </c>
      <c r="AF502" t="s">
        <v>74</v>
      </c>
      <c r="AG502">
        <v>67</v>
      </c>
      <c r="AH502">
        <v>5</v>
      </c>
      <c r="AI502">
        <v>5</v>
      </c>
      <c r="AJ502">
        <v>0</v>
      </c>
      <c r="AK502">
        <v>5</v>
      </c>
      <c r="AL502" t="s">
        <v>74</v>
      </c>
      <c r="AM502" t="s">
        <v>74</v>
      </c>
      <c r="AN502" t="s">
        <v>74</v>
      </c>
      <c r="AO502" t="s">
        <v>74</v>
      </c>
      <c r="AP502" t="s">
        <v>677</v>
      </c>
      <c r="AQ502" t="s">
        <v>74</v>
      </c>
      <c r="AR502" t="s">
        <v>74</v>
      </c>
      <c r="AS502" t="s">
        <v>74</v>
      </c>
      <c r="AT502" t="s">
        <v>129</v>
      </c>
      <c r="AU502">
        <v>2017</v>
      </c>
      <c r="AV502">
        <v>18</v>
      </c>
      <c r="AW502">
        <v>4</v>
      </c>
      <c r="AX502" t="s">
        <v>74</v>
      </c>
      <c r="AY502" t="s">
        <v>74</v>
      </c>
      <c r="AZ502" t="s">
        <v>74</v>
      </c>
      <c r="BA502" t="s">
        <v>74</v>
      </c>
      <c r="BB502" t="s">
        <v>74</v>
      </c>
      <c r="BC502" t="s">
        <v>74</v>
      </c>
      <c r="BD502">
        <v>788</v>
      </c>
      <c r="BE502" t="s">
        <v>2258</v>
      </c>
      <c r="BF502" t="str">
        <f>HYPERLINK("http://dx.doi.org/10.3390/ijms18040788","http://dx.doi.org/10.3390/ijms18040788")</f>
        <v>http://dx.doi.org/10.3390/ijms18040788</v>
      </c>
      <c r="BG502" t="s">
        <v>74</v>
      </c>
      <c r="BH502" t="s">
        <v>74</v>
      </c>
      <c r="BI502" t="s">
        <v>74</v>
      </c>
      <c r="BJ502" t="s">
        <v>680</v>
      </c>
      <c r="BK502" t="s">
        <v>112</v>
      </c>
      <c r="BL502" t="s">
        <v>681</v>
      </c>
      <c r="BM502" t="s">
        <v>74</v>
      </c>
      <c r="BN502">
        <v>28387728</v>
      </c>
      <c r="BO502" t="s">
        <v>74</v>
      </c>
      <c r="BP502" t="s">
        <v>74</v>
      </c>
      <c r="BQ502" t="s">
        <v>74</v>
      </c>
      <c r="BR502" t="s">
        <v>93</v>
      </c>
      <c r="BS502" t="s">
        <v>2259</v>
      </c>
      <c r="BT502" t="str">
        <f>HYPERLINK("https%3A%2F%2Fwww.webofscience.com%2Fwos%2Fwoscc%2Ffull-record%2FWOS:000402639400112","View Full Record in Web of Science")</f>
        <v>View Full Record in Web of Science</v>
      </c>
    </row>
    <row r="503" spans="1:72" x14ac:dyDescent="0.15">
      <c r="A503" t="s">
        <v>72</v>
      </c>
      <c r="B503" t="s">
        <v>2498</v>
      </c>
      <c r="C503" t="s">
        <v>74</v>
      </c>
      <c r="D503" t="s">
        <v>74</v>
      </c>
      <c r="E503" t="s">
        <v>74</v>
      </c>
      <c r="F503" t="s">
        <v>2499</v>
      </c>
      <c r="G503" t="s">
        <v>74</v>
      </c>
      <c r="H503" t="s">
        <v>74</v>
      </c>
      <c r="I503" t="s">
        <v>2500</v>
      </c>
      <c r="J503" t="s">
        <v>151</v>
      </c>
      <c r="K503" t="s">
        <v>74</v>
      </c>
      <c r="L503" t="s">
        <v>74</v>
      </c>
      <c r="M503" t="s">
        <v>74</v>
      </c>
      <c r="N503" t="s">
        <v>78</v>
      </c>
      <c r="O503" t="s">
        <v>74</v>
      </c>
      <c r="P503" t="s">
        <v>74</v>
      </c>
      <c r="Q503" t="s">
        <v>74</v>
      </c>
      <c r="R503" t="s">
        <v>74</v>
      </c>
      <c r="S503" t="s">
        <v>74</v>
      </c>
      <c r="T503" t="s">
        <v>2501</v>
      </c>
      <c r="U503" t="s">
        <v>2502</v>
      </c>
      <c r="V503" t="s">
        <v>2503</v>
      </c>
      <c r="W503" t="s">
        <v>2504</v>
      </c>
      <c r="X503" t="s">
        <v>2505</v>
      </c>
      <c r="Y503" t="s">
        <v>2506</v>
      </c>
      <c r="Z503" t="s">
        <v>2507</v>
      </c>
      <c r="AA503" t="s">
        <v>2508</v>
      </c>
      <c r="AB503" t="s">
        <v>2509</v>
      </c>
      <c r="AC503" t="s">
        <v>74</v>
      </c>
      <c r="AD503" t="s">
        <v>74</v>
      </c>
      <c r="AE503" t="s">
        <v>74</v>
      </c>
      <c r="AF503" t="s">
        <v>74</v>
      </c>
      <c r="AG503">
        <v>46</v>
      </c>
      <c r="AH503">
        <v>5</v>
      </c>
      <c r="AI503">
        <v>5</v>
      </c>
      <c r="AJ503">
        <v>6</v>
      </c>
      <c r="AK503">
        <v>14</v>
      </c>
      <c r="AL503" t="s">
        <v>74</v>
      </c>
      <c r="AM503" t="s">
        <v>74</v>
      </c>
      <c r="AN503" t="s">
        <v>74</v>
      </c>
      <c r="AO503" t="s">
        <v>74</v>
      </c>
      <c r="AP503" t="s">
        <v>160</v>
      </c>
      <c r="AQ503" t="s">
        <v>74</v>
      </c>
      <c r="AR503" t="s">
        <v>74</v>
      </c>
      <c r="AS503" t="s">
        <v>74</v>
      </c>
      <c r="AT503" t="s">
        <v>640</v>
      </c>
      <c r="AU503">
        <v>2021</v>
      </c>
      <c r="AV503">
        <v>13</v>
      </c>
      <c r="AW503">
        <v>4</v>
      </c>
      <c r="AX503" t="s">
        <v>74</v>
      </c>
      <c r="AY503" t="s">
        <v>74</v>
      </c>
      <c r="AZ503" t="s">
        <v>74</v>
      </c>
      <c r="BA503" t="s">
        <v>74</v>
      </c>
      <c r="BB503" t="s">
        <v>74</v>
      </c>
      <c r="BC503" t="s">
        <v>74</v>
      </c>
      <c r="BD503">
        <v>922</v>
      </c>
      <c r="BE503" t="s">
        <v>2510</v>
      </c>
      <c r="BF503" t="str">
        <f>HYPERLINK("http://dx.doi.org/10.3390/cancers13040922","http://dx.doi.org/10.3390/cancers13040922")</f>
        <v>http://dx.doi.org/10.3390/cancers13040922</v>
      </c>
      <c r="BG503" t="s">
        <v>74</v>
      </c>
      <c r="BH503" t="s">
        <v>74</v>
      </c>
      <c r="BI503" t="s">
        <v>74</v>
      </c>
      <c r="BJ503" t="s">
        <v>146</v>
      </c>
      <c r="BK503" t="s">
        <v>112</v>
      </c>
      <c r="BL503" t="s">
        <v>146</v>
      </c>
      <c r="BM503" t="s">
        <v>74</v>
      </c>
      <c r="BN503">
        <v>33671772</v>
      </c>
      <c r="BO503" t="s">
        <v>74</v>
      </c>
      <c r="BP503" t="s">
        <v>74</v>
      </c>
      <c r="BQ503" t="s">
        <v>74</v>
      </c>
      <c r="BR503" t="s">
        <v>93</v>
      </c>
      <c r="BS503" t="s">
        <v>2511</v>
      </c>
      <c r="BT503" t="str">
        <f>HYPERLINK("https%3A%2F%2Fwww.webofscience.com%2Fwos%2Fwoscc%2Ffull-record%2FWOS:000623359000001","View Full Record in Web of Science")</f>
        <v>View Full Record in Web of Science</v>
      </c>
    </row>
    <row r="504" spans="1:72" x14ac:dyDescent="0.15">
      <c r="A504" t="s">
        <v>72</v>
      </c>
      <c r="B504" t="s">
        <v>2574</v>
      </c>
      <c r="C504" t="s">
        <v>74</v>
      </c>
      <c r="D504" t="s">
        <v>74</v>
      </c>
      <c r="E504" t="s">
        <v>74</v>
      </c>
      <c r="F504" t="s">
        <v>2575</v>
      </c>
      <c r="G504" t="s">
        <v>74</v>
      </c>
      <c r="H504" t="s">
        <v>74</v>
      </c>
      <c r="I504" t="s">
        <v>2576</v>
      </c>
      <c r="J504" t="s">
        <v>1184</v>
      </c>
      <c r="K504" t="s">
        <v>74</v>
      </c>
      <c r="L504" t="s">
        <v>74</v>
      </c>
      <c r="M504" t="s">
        <v>74</v>
      </c>
      <c r="N504" t="s">
        <v>78</v>
      </c>
      <c r="O504" t="s">
        <v>74</v>
      </c>
      <c r="P504" t="s">
        <v>74</v>
      </c>
      <c r="Q504" t="s">
        <v>74</v>
      </c>
      <c r="R504" t="s">
        <v>74</v>
      </c>
      <c r="S504" t="s">
        <v>74</v>
      </c>
      <c r="T504" t="s">
        <v>2577</v>
      </c>
      <c r="U504" t="s">
        <v>2578</v>
      </c>
      <c r="V504" t="s">
        <v>2579</v>
      </c>
      <c r="W504" t="s">
        <v>2580</v>
      </c>
      <c r="X504" t="s">
        <v>2581</v>
      </c>
      <c r="Y504" t="s">
        <v>2582</v>
      </c>
      <c r="Z504" t="s">
        <v>2583</v>
      </c>
      <c r="AA504" t="s">
        <v>2584</v>
      </c>
      <c r="AB504" t="s">
        <v>2585</v>
      </c>
      <c r="AC504" t="s">
        <v>74</v>
      </c>
      <c r="AD504" t="s">
        <v>74</v>
      </c>
      <c r="AE504" t="s">
        <v>74</v>
      </c>
      <c r="AF504" t="s">
        <v>74</v>
      </c>
      <c r="AG504">
        <v>54</v>
      </c>
      <c r="AH504">
        <v>5</v>
      </c>
      <c r="AI504">
        <v>5</v>
      </c>
      <c r="AJ504">
        <v>12</v>
      </c>
      <c r="AK504">
        <v>71</v>
      </c>
      <c r="AL504" t="s">
        <v>74</v>
      </c>
      <c r="AM504" t="s">
        <v>74</v>
      </c>
      <c r="AN504" t="s">
        <v>74</v>
      </c>
      <c r="AO504" t="s">
        <v>1193</v>
      </c>
      <c r="AP504" t="s">
        <v>1194</v>
      </c>
      <c r="AQ504" t="s">
        <v>74</v>
      </c>
      <c r="AR504" t="s">
        <v>74</v>
      </c>
      <c r="AS504" t="s">
        <v>74</v>
      </c>
      <c r="AT504" t="s">
        <v>2586</v>
      </c>
      <c r="AU504">
        <v>2021</v>
      </c>
      <c r="AV504">
        <v>223</v>
      </c>
      <c r="AW504" t="s">
        <v>74</v>
      </c>
      <c r="AX504">
        <v>2</v>
      </c>
      <c r="AY504" t="s">
        <v>74</v>
      </c>
      <c r="AZ504" t="s">
        <v>74</v>
      </c>
      <c r="BA504" t="s">
        <v>74</v>
      </c>
      <c r="BB504" t="s">
        <v>74</v>
      </c>
      <c r="BC504" t="s">
        <v>74</v>
      </c>
      <c r="BD504">
        <v>121776</v>
      </c>
      <c r="BE504" t="s">
        <v>2587</v>
      </c>
      <c r="BF504" t="str">
        <f>HYPERLINK("http://dx.doi.org/10.1016/j.talanta.2020.121776","http://dx.doi.org/10.1016/j.talanta.2020.121776")</f>
        <v>http://dx.doi.org/10.1016/j.talanta.2020.121776</v>
      </c>
      <c r="BG504" t="s">
        <v>74</v>
      </c>
      <c r="BH504" t="s">
        <v>74</v>
      </c>
      <c r="BI504" t="s">
        <v>74</v>
      </c>
      <c r="BJ504" t="s">
        <v>1196</v>
      </c>
      <c r="BK504" t="s">
        <v>112</v>
      </c>
      <c r="BL504" t="s">
        <v>1197</v>
      </c>
      <c r="BM504" t="s">
        <v>74</v>
      </c>
      <c r="BN504">
        <v>33298282</v>
      </c>
      <c r="BO504" t="s">
        <v>74</v>
      </c>
      <c r="BP504" t="s">
        <v>74</v>
      </c>
      <c r="BQ504" t="s">
        <v>74</v>
      </c>
      <c r="BR504" t="s">
        <v>93</v>
      </c>
      <c r="BS504" t="s">
        <v>2588</v>
      </c>
      <c r="BT504" t="str">
        <f>HYPERLINK("https%3A%2F%2Fwww.webofscience.com%2Fwos%2Fwoscc%2Ffull-record%2FWOS:000599681500002","View Full Record in Web of Science")</f>
        <v>View Full Record in Web of Science</v>
      </c>
    </row>
    <row r="505" spans="1:72" x14ac:dyDescent="0.15">
      <c r="A505" t="s">
        <v>72</v>
      </c>
      <c r="B505" t="s">
        <v>2990</v>
      </c>
      <c r="C505" t="s">
        <v>74</v>
      </c>
      <c r="D505" t="s">
        <v>74</v>
      </c>
      <c r="E505" t="s">
        <v>74</v>
      </c>
      <c r="F505" t="s">
        <v>2991</v>
      </c>
      <c r="G505" t="s">
        <v>74</v>
      </c>
      <c r="H505" t="s">
        <v>74</v>
      </c>
      <c r="I505" t="s">
        <v>2992</v>
      </c>
      <c r="J505" t="s">
        <v>2993</v>
      </c>
      <c r="K505" t="s">
        <v>74</v>
      </c>
      <c r="L505" t="s">
        <v>74</v>
      </c>
      <c r="M505" t="s">
        <v>74</v>
      </c>
      <c r="N505" t="s">
        <v>78</v>
      </c>
      <c r="O505" t="s">
        <v>74</v>
      </c>
      <c r="P505" t="s">
        <v>74</v>
      </c>
      <c r="Q505" t="s">
        <v>74</v>
      </c>
      <c r="R505" t="s">
        <v>74</v>
      </c>
      <c r="S505" t="s">
        <v>74</v>
      </c>
      <c r="T505" t="s">
        <v>2994</v>
      </c>
      <c r="U505" t="s">
        <v>2995</v>
      </c>
      <c r="V505" t="s">
        <v>2996</v>
      </c>
      <c r="W505" t="s">
        <v>2997</v>
      </c>
      <c r="X505" t="s">
        <v>1755</v>
      </c>
      <c r="Y505" t="s">
        <v>2998</v>
      </c>
      <c r="Z505" t="s">
        <v>2999</v>
      </c>
      <c r="AA505" t="s">
        <v>3000</v>
      </c>
      <c r="AB505" t="s">
        <v>3001</v>
      </c>
      <c r="AC505" t="s">
        <v>74</v>
      </c>
      <c r="AD505" t="s">
        <v>74</v>
      </c>
      <c r="AE505" t="s">
        <v>74</v>
      </c>
      <c r="AF505" t="s">
        <v>74</v>
      </c>
      <c r="AG505">
        <v>62</v>
      </c>
      <c r="AH505">
        <v>5</v>
      </c>
      <c r="AI505">
        <v>5</v>
      </c>
      <c r="AJ505">
        <v>7</v>
      </c>
      <c r="AK505">
        <v>20</v>
      </c>
      <c r="AL505" t="s">
        <v>74</v>
      </c>
      <c r="AM505" t="s">
        <v>74</v>
      </c>
      <c r="AN505" t="s">
        <v>74</v>
      </c>
      <c r="AO505" t="s">
        <v>3002</v>
      </c>
      <c r="AP505" t="s">
        <v>3003</v>
      </c>
      <c r="AQ505" t="s">
        <v>74</v>
      </c>
      <c r="AR505" t="s">
        <v>74</v>
      </c>
      <c r="AS505" t="s">
        <v>74</v>
      </c>
      <c r="AT505" t="s">
        <v>3004</v>
      </c>
      <c r="AU505">
        <v>2021</v>
      </c>
      <c r="AV505">
        <v>1638</v>
      </c>
      <c r="AW505" t="s">
        <v>74</v>
      </c>
      <c r="AX505" t="s">
        <v>74</v>
      </c>
      <c r="AY505" t="s">
        <v>74</v>
      </c>
      <c r="AZ505" t="s">
        <v>74</v>
      </c>
      <c r="BA505" t="s">
        <v>74</v>
      </c>
      <c r="BB505" t="s">
        <v>74</v>
      </c>
      <c r="BC505" t="s">
        <v>74</v>
      </c>
      <c r="BD505">
        <v>461861</v>
      </c>
      <c r="BE505" t="s">
        <v>3005</v>
      </c>
      <c r="BF505" t="str">
        <f>HYPERLINK("http://dx.doi.org/10.1016/j.chroma.2020.461861","http://dx.doi.org/10.1016/j.chroma.2020.461861")</f>
        <v>http://dx.doi.org/10.1016/j.chroma.2020.461861</v>
      </c>
      <c r="BG505" t="s">
        <v>74</v>
      </c>
      <c r="BH505" t="s">
        <v>2735</v>
      </c>
      <c r="BI505" t="s">
        <v>74</v>
      </c>
      <c r="BJ505" t="s">
        <v>2973</v>
      </c>
      <c r="BK505" t="s">
        <v>112</v>
      </c>
      <c r="BL505" t="s">
        <v>681</v>
      </c>
      <c r="BM505" t="s">
        <v>74</v>
      </c>
      <c r="BN505">
        <v>33472105</v>
      </c>
      <c r="BO505" t="s">
        <v>74</v>
      </c>
      <c r="BP505" t="s">
        <v>74</v>
      </c>
      <c r="BQ505" t="s">
        <v>74</v>
      </c>
      <c r="BR505" t="s">
        <v>93</v>
      </c>
      <c r="BS505" t="s">
        <v>3006</v>
      </c>
      <c r="BT505" t="str">
        <f>HYPERLINK("https%3A%2F%2Fwww.webofscience.com%2Fwos%2Fwoscc%2Ffull-record%2FWOS:000618077000001","View Full Record in Web of Science")</f>
        <v>View Full Record in Web of Science</v>
      </c>
    </row>
    <row r="506" spans="1:72" x14ac:dyDescent="0.15">
      <c r="A506" t="s">
        <v>72</v>
      </c>
      <c r="B506" t="s">
        <v>3265</v>
      </c>
      <c r="C506" t="s">
        <v>74</v>
      </c>
      <c r="D506" t="s">
        <v>74</v>
      </c>
      <c r="E506" t="s">
        <v>74</v>
      </c>
      <c r="F506" t="s">
        <v>3266</v>
      </c>
      <c r="G506" t="s">
        <v>74</v>
      </c>
      <c r="H506" t="s">
        <v>74</v>
      </c>
      <c r="I506" t="s">
        <v>3267</v>
      </c>
      <c r="J506" t="s">
        <v>3268</v>
      </c>
      <c r="K506" t="s">
        <v>74</v>
      </c>
      <c r="L506" t="s">
        <v>74</v>
      </c>
      <c r="M506" t="s">
        <v>74</v>
      </c>
      <c r="N506" t="s">
        <v>78</v>
      </c>
      <c r="O506" t="s">
        <v>74</v>
      </c>
      <c r="P506" t="s">
        <v>74</v>
      </c>
      <c r="Q506" t="s">
        <v>74</v>
      </c>
      <c r="R506" t="s">
        <v>74</v>
      </c>
      <c r="S506" t="s">
        <v>74</v>
      </c>
      <c r="T506" t="s">
        <v>74</v>
      </c>
      <c r="U506" t="s">
        <v>3269</v>
      </c>
      <c r="V506" t="s">
        <v>3270</v>
      </c>
      <c r="W506" t="s">
        <v>3271</v>
      </c>
      <c r="X506" t="s">
        <v>3272</v>
      </c>
      <c r="Y506" t="s">
        <v>3273</v>
      </c>
      <c r="Z506" t="s">
        <v>3274</v>
      </c>
      <c r="AA506" t="s">
        <v>3275</v>
      </c>
      <c r="AB506" t="s">
        <v>3276</v>
      </c>
      <c r="AC506" t="s">
        <v>74</v>
      </c>
      <c r="AD506" t="s">
        <v>74</v>
      </c>
      <c r="AE506" t="s">
        <v>74</v>
      </c>
      <c r="AF506" t="s">
        <v>74</v>
      </c>
      <c r="AG506">
        <v>96</v>
      </c>
      <c r="AH506">
        <v>5</v>
      </c>
      <c r="AI506">
        <v>5</v>
      </c>
      <c r="AJ506">
        <v>1</v>
      </c>
      <c r="AK506">
        <v>8</v>
      </c>
      <c r="AL506" t="s">
        <v>74</v>
      </c>
      <c r="AM506" t="s">
        <v>74</v>
      </c>
      <c r="AN506" t="s">
        <v>74</v>
      </c>
      <c r="AO506" t="s">
        <v>3277</v>
      </c>
      <c r="AP506" t="s">
        <v>3278</v>
      </c>
      <c r="AQ506" t="s">
        <v>74</v>
      </c>
      <c r="AR506" t="s">
        <v>74</v>
      </c>
      <c r="AS506" t="s">
        <v>74</v>
      </c>
      <c r="AT506" t="s">
        <v>3279</v>
      </c>
      <c r="AU506">
        <v>2021</v>
      </c>
      <c r="AV506">
        <v>56</v>
      </c>
      <c r="AW506">
        <v>6</v>
      </c>
      <c r="AX506" t="s">
        <v>74</v>
      </c>
      <c r="AY506" t="s">
        <v>74</v>
      </c>
      <c r="AZ506" t="s">
        <v>74</v>
      </c>
      <c r="BA506" t="s">
        <v>74</v>
      </c>
      <c r="BB506">
        <v>842</v>
      </c>
      <c r="BC506" t="s">
        <v>109</v>
      </c>
      <c r="BD506" t="s">
        <v>74</v>
      </c>
      <c r="BE506" t="s">
        <v>3280</v>
      </c>
      <c r="BF506" t="str">
        <f>HYPERLINK("http://dx.doi.org/10.1016/j.devcel.2021.02.029","http://dx.doi.org/10.1016/j.devcel.2021.02.029")</f>
        <v>http://dx.doi.org/10.1016/j.devcel.2021.02.029</v>
      </c>
      <c r="BG506" t="s">
        <v>74</v>
      </c>
      <c r="BH506" t="s">
        <v>2200</v>
      </c>
      <c r="BI506" t="s">
        <v>74</v>
      </c>
      <c r="BJ506" t="s">
        <v>855</v>
      </c>
      <c r="BK506" t="s">
        <v>112</v>
      </c>
      <c r="BL506" t="s">
        <v>855</v>
      </c>
      <c r="BM506" t="s">
        <v>74</v>
      </c>
      <c r="BN506">
        <v>33756122</v>
      </c>
      <c r="BO506" t="s">
        <v>74</v>
      </c>
      <c r="BP506" t="s">
        <v>74</v>
      </c>
      <c r="BQ506" t="s">
        <v>74</v>
      </c>
      <c r="BR506" t="s">
        <v>93</v>
      </c>
      <c r="BS506" t="s">
        <v>3281</v>
      </c>
      <c r="BT506" t="str">
        <f>HYPERLINK("https%3A%2F%2Fwww.webofscience.com%2Fwos%2Fwoscc%2Ffull-record%2FWOS:000631681200012","View Full Record in Web of Science")</f>
        <v>View Full Record in Web of Science</v>
      </c>
    </row>
    <row r="507" spans="1:72" x14ac:dyDescent="0.15">
      <c r="A507" t="s">
        <v>72</v>
      </c>
      <c r="B507" t="s">
        <v>5029</v>
      </c>
      <c r="C507" t="s">
        <v>74</v>
      </c>
      <c r="D507" t="s">
        <v>74</v>
      </c>
      <c r="E507" t="s">
        <v>74</v>
      </c>
      <c r="F507" t="s">
        <v>5030</v>
      </c>
      <c r="G507" t="s">
        <v>74</v>
      </c>
      <c r="H507" t="s">
        <v>74</v>
      </c>
      <c r="I507" t="s">
        <v>5031</v>
      </c>
      <c r="J507" t="s">
        <v>5032</v>
      </c>
      <c r="K507" t="s">
        <v>74</v>
      </c>
      <c r="L507" t="s">
        <v>74</v>
      </c>
      <c r="M507" t="s">
        <v>74</v>
      </c>
      <c r="N507" t="s">
        <v>78</v>
      </c>
      <c r="O507" t="s">
        <v>74</v>
      </c>
      <c r="P507" t="s">
        <v>74</v>
      </c>
      <c r="Q507" t="s">
        <v>74</v>
      </c>
      <c r="R507" t="s">
        <v>74</v>
      </c>
      <c r="S507" t="s">
        <v>74</v>
      </c>
      <c r="T507" t="s">
        <v>5033</v>
      </c>
      <c r="U507" t="s">
        <v>5034</v>
      </c>
      <c r="V507" t="s">
        <v>5035</v>
      </c>
      <c r="W507" t="s">
        <v>5036</v>
      </c>
      <c r="X507" t="s">
        <v>5037</v>
      </c>
      <c r="Y507" t="s">
        <v>5038</v>
      </c>
      <c r="Z507" t="s">
        <v>5039</v>
      </c>
      <c r="AA507" t="s">
        <v>74</v>
      </c>
      <c r="AB507" t="s">
        <v>74</v>
      </c>
      <c r="AC507" t="s">
        <v>74</v>
      </c>
      <c r="AD507" t="s">
        <v>74</v>
      </c>
      <c r="AE507" t="s">
        <v>74</v>
      </c>
      <c r="AF507" t="s">
        <v>74</v>
      </c>
      <c r="AG507">
        <v>6</v>
      </c>
      <c r="AH507">
        <v>5</v>
      </c>
      <c r="AI507">
        <v>7</v>
      </c>
      <c r="AJ507">
        <v>1</v>
      </c>
      <c r="AK507">
        <v>2</v>
      </c>
      <c r="AL507" t="s">
        <v>74</v>
      </c>
      <c r="AM507" t="s">
        <v>74</v>
      </c>
      <c r="AN507" t="s">
        <v>74</v>
      </c>
      <c r="AO507" t="s">
        <v>5040</v>
      </c>
      <c r="AP507" t="s">
        <v>5041</v>
      </c>
      <c r="AQ507" t="s">
        <v>74</v>
      </c>
      <c r="AR507" t="s">
        <v>74</v>
      </c>
      <c r="AS507" t="s">
        <v>74</v>
      </c>
      <c r="AT507" t="s">
        <v>108</v>
      </c>
      <c r="AU507">
        <v>2018</v>
      </c>
      <c r="AV507">
        <v>55</v>
      </c>
      <c r="AW507">
        <v>1</v>
      </c>
      <c r="AX507" t="s">
        <v>74</v>
      </c>
      <c r="AY507" t="s">
        <v>74</v>
      </c>
      <c r="AZ507" t="s">
        <v>74</v>
      </c>
      <c r="BA507" t="s">
        <v>74</v>
      </c>
      <c r="BB507">
        <v>178</v>
      </c>
      <c r="BC507">
        <v>180</v>
      </c>
      <c r="BD507" t="s">
        <v>74</v>
      </c>
      <c r="BE507" t="s">
        <v>5042</v>
      </c>
      <c r="BF507" t="str">
        <f>HYPERLINK("http://dx.doi.org/10.1177/0004563217704233","http://dx.doi.org/10.1177/0004563217704233")</f>
        <v>http://dx.doi.org/10.1177/0004563217704233</v>
      </c>
      <c r="BG507" t="s">
        <v>74</v>
      </c>
      <c r="BH507" t="s">
        <v>74</v>
      </c>
      <c r="BI507" t="s">
        <v>74</v>
      </c>
      <c r="BJ507" t="s">
        <v>1214</v>
      </c>
      <c r="BK507" t="s">
        <v>112</v>
      </c>
      <c r="BL507" t="s">
        <v>1214</v>
      </c>
      <c r="BM507" t="s">
        <v>74</v>
      </c>
      <c r="BN507">
        <v>28372464</v>
      </c>
      <c r="BO507" t="s">
        <v>74</v>
      </c>
      <c r="BP507" t="s">
        <v>74</v>
      </c>
      <c r="BQ507" t="s">
        <v>74</v>
      </c>
      <c r="BR507" t="s">
        <v>93</v>
      </c>
      <c r="BS507" t="s">
        <v>5043</v>
      </c>
      <c r="BT507" t="str">
        <f>HYPERLINK("https%3A%2F%2Fwww.webofscience.com%2Fwos%2Fwoscc%2Ffull-record%2FWOS:000419458400022","View Full Record in Web of Science")</f>
        <v>View Full Record in Web of Science</v>
      </c>
    </row>
    <row r="508" spans="1:72" x14ac:dyDescent="0.15">
      <c r="A508" t="s">
        <v>72</v>
      </c>
      <c r="B508" t="s">
        <v>5894</v>
      </c>
      <c r="C508" t="s">
        <v>74</v>
      </c>
      <c r="D508" t="s">
        <v>74</v>
      </c>
      <c r="E508" t="s">
        <v>74</v>
      </c>
      <c r="F508" t="s">
        <v>5895</v>
      </c>
      <c r="G508" t="s">
        <v>74</v>
      </c>
      <c r="H508" t="s">
        <v>74</v>
      </c>
      <c r="I508" t="s">
        <v>5896</v>
      </c>
      <c r="J508" t="s">
        <v>1704</v>
      </c>
      <c r="K508" t="s">
        <v>74</v>
      </c>
      <c r="L508" t="s">
        <v>74</v>
      </c>
      <c r="M508" t="s">
        <v>74</v>
      </c>
      <c r="N508" t="s">
        <v>78</v>
      </c>
      <c r="O508" t="s">
        <v>74</v>
      </c>
      <c r="P508" t="s">
        <v>74</v>
      </c>
      <c r="Q508" t="s">
        <v>74</v>
      </c>
      <c r="R508" t="s">
        <v>74</v>
      </c>
      <c r="S508" t="s">
        <v>74</v>
      </c>
      <c r="T508" t="s">
        <v>5897</v>
      </c>
      <c r="U508" t="s">
        <v>74</v>
      </c>
      <c r="V508" t="s">
        <v>5898</v>
      </c>
      <c r="W508" t="s">
        <v>5899</v>
      </c>
      <c r="X508" t="s">
        <v>5900</v>
      </c>
      <c r="Y508" t="s">
        <v>5901</v>
      </c>
      <c r="Z508" t="s">
        <v>5902</v>
      </c>
      <c r="AA508" t="s">
        <v>5903</v>
      </c>
      <c r="AB508" t="s">
        <v>5904</v>
      </c>
      <c r="AC508" t="s">
        <v>74</v>
      </c>
      <c r="AD508" t="s">
        <v>74</v>
      </c>
      <c r="AE508" t="s">
        <v>74</v>
      </c>
      <c r="AF508" t="s">
        <v>74</v>
      </c>
      <c r="AG508">
        <v>62</v>
      </c>
      <c r="AH508">
        <v>5</v>
      </c>
      <c r="AI508">
        <v>5</v>
      </c>
      <c r="AJ508">
        <v>1</v>
      </c>
      <c r="AK508">
        <v>5</v>
      </c>
      <c r="AL508" t="s">
        <v>74</v>
      </c>
      <c r="AM508" t="s">
        <v>74</v>
      </c>
      <c r="AN508" t="s">
        <v>74</v>
      </c>
      <c r="AO508" t="s">
        <v>74</v>
      </c>
      <c r="AP508" t="s">
        <v>1712</v>
      </c>
      <c r="AQ508" t="s">
        <v>74</v>
      </c>
      <c r="AR508" t="s">
        <v>74</v>
      </c>
      <c r="AS508" t="s">
        <v>74</v>
      </c>
      <c r="AT508" t="s">
        <v>640</v>
      </c>
      <c r="AU508">
        <v>2021</v>
      </c>
      <c r="AV508">
        <v>13</v>
      </c>
      <c r="AW508">
        <v>2</v>
      </c>
      <c r="AX508" t="s">
        <v>74</v>
      </c>
      <c r="AY508" t="s">
        <v>74</v>
      </c>
      <c r="AZ508" t="s">
        <v>74</v>
      </c>
      <c r="BA508" t="s">
        <v>74</v>
      </c>
      <c r="BB508" t="s">
        <v>74</v>
      </c>
      <c r="BC508" t="s">
        <v>74</v>
      </c>
      <c r="BD508">
        <v>665</v>
      </c>
      <c r="BE508" t="s">
        <v>5905</v>
      </c>
      <c r="BF508" t="str">
        <f>HYPERLINK("http://dx.doi.org/10.3390/nu13020665","http://dx.doi.org/10.3390/nu13020665")</f>
        <v>http://dx.doi.org/10.3390/nu13020665</v>
      </c>
      <c r="BG508" t="s">
        <v>74</v>
      </c>
      <c r="BH508" t="s">
        <v>74</v>
      </c>
      <c r="BI508" t="s">
        <v>74</v>
      </c>
      <c r="BJ508" t="s">
        <v>1714</v>
      </c>
      <c r="BK508" t="s">
        <v>112</v>
      </c>
      <c r="BL508" t="s">
        <v>1714</v>
      </c>
      <c r="BM508" t="s">
        <v>74</v>
      </c>
      <c r="BN508">
        <v>33669497</v>
      </c>
      <c r="BO508" t="s">
        <v>74</v>
      </c>
      <c r="BP508" t="s">
        <v>74</v>
      </c>
      <c r="BQ508" t="s">
        <v>74</v>
      </c>
      <c r="BR508" t="s">
        <v>93</v>
      </c>
      <c r="BS508" t="s">
        <v>5906</v>
      </c>
      <c r="BT508" t="str">
        <f>HYPERLINK("https%3A%2F%2Fwww.webofscience.com%2Fwos%2Fwoscc%2Ffull-record%2FWOS:000622917600001","View Full Record in Web of Science")</f>
        <v>View Full Record in Web of Science</v>
      </c>
    </row>
    <row r="509" spans="1:72" x14ac:dyDescent="0.15">
      <c r="A509" t="s">
        <v>72</v>
      </c>
      <c r="B509" t="s">
        <v>6091</v>
      </c>
      <c r="C509" t="s">
        <v>74</v>
      </c>
      <c r="D509" t="s">
        <v>74</v>
      </c>
      <c r="E509" t="s">
        <v>74</v>
      </c>
      <c r="F509" t="s">
        <v>6092</v>
      </c>
      <c r="G509" t="s">
        <v>74</v>
      </c>
      <c r="H509" t="s">
        <v>74</v>
      </c>
      <c r="I509" t="s">
        <v>6093</v>
      </c>
      <c r="J509" t="s">
        <v>6094</v>
      </c>
      <c r="K509" t="s">
        <v>74</v>
      </c>
      <c r="L509" t="s">
        <v>74</v>
      </c>
      <c r="M509" t="s">
        <v>74</v>
      </c>
      <c r="N509" t="s">
        <v>78</v>
      </c>
      <c r="O509" t="s">
        <v>74</v>
      </c>
      <c r="P509" t="s">
        <v>74</v>
      </c>
      <c r="Q509" t="s">
        <v>74</v>
      </c>
      <c r="R509" t="s">
        <v>74</v>
      </c>
      <c r="S509" t="s">
        <v>74</v>
      </c>
      <c r="T509" t="s">
        <v>74</v>
      </c>
      <c r="U509" t="s">
        <v>6095</v>
      </c>
      <c r="V509" t="s">
        <v>6096</v>
      </c>
      <c r="W509" t="s">
        <v>6097</v>
      </c>
      <c r="X509" t="s">
        <v>6098</v>
      </c>
      <c r="Y509" t="s">
        <v>6099</v>
      </c>
      <c r="Z509" t="s">
        <v>6100</v>
      </c>
      <c r="AA509" t="s">
        <v>6101</v>
      </c>
      <c r="AB509" t="s">
        <v>6102</v>
      </c>
      <c r="AC509" t="s">
        <v>74</v>
      </c>
      <c r="AD509" t="s">
        <v>74</v>
      </c>
      <c r="AE509" t="s">
        <v>74</v>
      </c>
      <c r="AF509" t="s">
        <v>74</v>
      </c>
      <c r="AG509">
        <v>34</v>
      </c>
      <c r="AH509">
        <v>5</v>
      </c>
      <c r="AI509">
        <v>5</v>
      </c>
      <c r="AJ509">
        <v>1</v>
      </c>
      <c r="AK509">
        <v>13</v>
      </c>
      <c r="AL509" t="s">
        <v>74</v>
      </c>
      <c r="AM509" t="s">
        <v>74</v>
      </c>
      <c r="AN509" t="s">
        <v>74</v>
      </c>
      <c r="AO509" t="s">
        <v>6103</v>
      </c>
      <c r="AP509" t="s">
        <v>74</v>
      </c>
      <c r="AQ509" t="s">
        <v>74</v>
      </c>
      <c r="AR509" t="s">
        <v>74</v>
      </c>
      <c r="AS509" t="s">
        <v>74</v>
      </c>
      <c r="AT509" t="s">
        <v>437</v>
      </c>
      <c r="AU509">
        <v>2017</v>
      </c>
      <c r="AV509">
        <v>2</v>
      </c>
      <c r="AW509">
        <v>10</v>
      </c>
      <c r="AX509" t="s">
        <v>74</v>
      </c>
      <c r="AY509" t="s">
        <v>74</v>
      </c>
      <c r="AZ509" t="s">
        <v>74</v>
      </c>
      <c r="BA509" t="s">
        <v>74</v>
      </c>
      <c r="BB509">
        <v>6703</v>
      </c>
      <c r="BC509">
        <v>6707</v>
      </c>
      <c r="BD509" t="s">
        <v>74</v>
      </c>
      <c r="BE509" t="s">
        <v>6104</v>
      </c>
      <c r="BF509" t="str">
        <f>HYPERLINK("http://dx.doi.org/10.1021/acsomega.7b01147","http://dx.doi.org/10.1021/acsomega.7b01147")</f>
        <v>http://dx.doi.org/10.1021/acsomega.7b01147</v>
      </c>
      <c r="BG509" t="s">
        <v>74</v>
      </c>
      <c r="BH509" t="s">
        <v>74</v>
      </c>
      <c r="BI509" t="s">
        <v>74</v>
      </c>
      <c r="BJ509" t="s">
        <v>3810</v>
      </c>
      <c r="BK509" t="s">
        <v>112</v>
      </c>
      <c r="BL509" t="s">
        <v>1197</v>
      </c>
      <c r="BM509" t="s">
        <v>74</v>
      </c>
      <c r="BN509">
        <v>30023529</v>
      </c>
      <c r="BO509" t="s">
        <v>74</v>
      </c>
      <c r="BP509" t="s">
        <v>74</v>
      </c>
      <c r="BQ509" t="s">
        <v>74</v>
      </c>
      <c r="BR509" t="s">
        <v>93</v>
      </c>
      <c r="BS509" t="s">
        <v>6105</v>
      </c>
      <c r="BT509" t="str">
        <f>HYPERLINK("https%3A%2F%2Fwww.webofscience.com%2Fwos%2Fwoscc%2Ffull-record%2FWOS:000418744000044","View Full Record in Web of Science")</f>
        <v>View Full Record in Web of Science</v>
      </c>
    </row>
    <row r="510" spans="1:72" x14ac:dyDescent="0.15">
      <c r="A510" t="s">
        <v>72</v>
      </c>
      <c r="B510" t="s">
        <v>6415</v>
      </c>
      <c r="C510" t="s">
        <v>74</v>
      </c>
      <c r="D510" t="s">
        <v>74</v>
      </c>
      <c r="E510" t="s">
        <v>74</v>
      </c>
      <c r="F510" t="s">
        <v>6416</v>
      </c>
      <c r="G510" t="s">
        <v>74</v>
      </c>
      <c r="H510" t="s">
        <v>74</v>
      </c>
      <c r="I510" t="s">
        <v>6417</v>
      </c>
      <c r="J510" t="s">
        <v>2013</v>
      </c>
      <c r="K510" t="s">
        <v>74</v>
      </c>
      <c r="L510" t="s">
        <v>74</v>
      </c>
      <c r="M510" t="s">
        <v>74</v>
      </c>
      <c r="N510" t="s">
        <v>78</v>
      </c>
      <c r="O510" t="s">
        <v>74</v>
      </c>
      <c r="P510" t="s">
        <v>74</v>
      </c>
      <c r="Q510" t="s">
        <v>74</v>
      </c>
      <c r="R510" t="s">
        <v>74</v>
      </c>
      <c r="S510" t="s">
        <v>74</v>
      </c>
      <c r="T510" t="s">
        <v>74</v>
      </c>
      <c r="U510" t="s">
        <v>6418</v>
      </c>
      <c r="V510" t="s">
        <v>6419</v>
      </c>
      <c r="W510" t="s">
        <v>6420</v>
      </c>
      <c r="X510" t="s">
        <v>6421</v>
      </c>
      <c r="Y510" t="s">
        <v>4528</v>
      </c>
      <c r="Z510" t="s">
        <v>4529</v>
      </c>
      <c r="AA510" t="s">
        <v>6422</v>
      </c>
      <c r="AB510" t="s">
        <v>6423</v>
      </c>
      <c r="AC510" t="s">
        <v>74</v>
      </c>
      <c r="AD510" t="s">
        <v>74</v>
      </c>
      <c r="AE510" t="s">
        <v>74</v>
      </c>
      <c r="AF510" t="s">
        <v>74</v>
      </c>
      <c r="AG510">
        <v>41</v>
      </c>
      <c r="AH510">
        <v>5</v>
      </c>
      <c r="AI510">
        <v>5</v>
      </c>
      <c r="AJ510">
        <v>41</v>
      </c>
      <c r="AK510">
        <v>96</v>
      </c>
      <c r="AL510" t="s">
        <v>74</v>
      </c>
      <c r="AM510" t="s">
        <v>74</v>
      </c>
      <c r="AN510" t="s">
        <v>74</v>
      </c>
      <c r="AO510" t="s">
        <v>2022</v>
      </c>
      <c r="AP510" t="s">
        <v>2023</v>
      </c>
      <c r="AQ510" t="s">
        <v>74</v>
      </c>
      <c r="AR510" t="s">
        <v>74</v>
      </c>
      <c r="AS510" t="s">
        <v>74</v>
      </c>
      <c r="AT510" t="s">
        <v>6424</v>
      </c>
      <c r="AU510">
        <v>2021</v>
      </c>
      <c r="AV510">
        <v>93</v>
      </c>
      <c r="AW510">
        <v>33</v>
      </c>
      <c r="AX510" t="s">
        <v>74</v>
      </c>
      <c r="AY510" t="s">
        <v>74</v>
      </c>
      <c r="AZ510" t="s">
        <v>74</v>
      </c>
      <c r="BA510" t="s">
        <v>74</v>
      </c>
      <c r="BB510">
        <v>11540</v>
      </c>
      <c r="BC510">
        <v>11546</v>
      </c>
      <c r="BD510" t="s">
        <v>74</v>
      </c>
      <c r="BE510" t="s">
        <v>6425</v>
      </c>
      <c r="BF510" t="str">
        <f>HYPERLINK("http://dx.doi.org/10.1021/acs.analchem.1c02004","http://dx.doi.org/10.1021/acs.analchem.1c02004")</f>
        <v>http://dx.doi.org/10.1021/acs.analchem.1c02004</v>
      </c>
      <c r="BG510" t="s">
        <v>74</v>
      </c>
      <c r="BH510" t="s">
        <v>661</v>
      </c>
      <c r="BI510" t="s">
        <v>74</v>
      </c>
      <c r="BJ510" t="s">
        <v>1196</v>
      </c>
      <c r="BK510" t="s">
        <v>112</v>
      </c>
      <c r="BL510" t="s">
        <v>1197</v>
      </c>
      <c r="BM510" t="s">
        <v>74</v>
      </c>
      <c r="BN510">
        <v>34369746</v>
      </c>
      <c r="BO510" t="s">
        <v>74</v>
      </c>
      <c r="BP510" t="s">
        <v>74</v>
      </c>
      <c r="BQ510" t="s">
        <v>74</v>
      </c>
      <c r="BR510" t="s">
        <v>93</v>
      </c>
      <c r="BS510" t="s">
        <v>6426</v>
      </c>
      <c r="BT510" t="str">
        <f>HYPERLINK("https%3A%2F%2Fwww.webofscience.com%2Fwos%2Fwoscc%2Ffull-record%2FWOS:000691297400023","View Full Record in Web of Science")</f>
        <v>View Full Record in Web of Science</v>
      </c>
    </row>
    <row r="511" spans="1:72" x14ac:dyDescent="0.15">
      <c r="A511" t="s">
        <v>72</v>
      </c>
      <c r="B511" t="s">
        <v>7190</v>
      </c>
      <c r="C511" t="s">
        <v>74</v>
      </c>
      <c r="D511" t="s">
        <v>74</v>
      </c>
      <c r="E511" t="s">
        <v>74</v>
      </c>
      <c r="F511" t="s">
        <v>7191</v>
      </c>
      <c r="G511" t="s">
        <v>74</v>
      </c>
      <c r="H511" t="s">
        <v>74</v>
      </c>
      <c r="I511" t="s">
        <v>7192</v>
      </c>
      <c r="J511" t="s">
        <v>7193</v>
      </c>
      <c r="K511" t="s">
        <v>74</v>
      </c>
      <c r="L511" t="s">
        <v>74</v>
      </c>
      <c r="M511" t="s">
        <v>74</v>
      </c>
      <c r="N511" t="s">
        <v>78</v>
      </c>
      <c r="O511" t="s">
        <v>74</v>
      </c>
      <c r="P511" t="s">
        <v>74</v>
      </c>
      <c r="Q511" t="s">
        <v>74</v>
      </c>
      <c r="R511" t="s">
        <v>74</v>
      </c>
      <c r="S511" t="s">
        <v>74</v>
      </c>
      <c r="T511" t="s">
        <v>7194</v>
      </c>
      <c r="U511" t="s">
        <v>7195</v>
      </c>
      <c r="V511" t="s">
        <v>7196</v>
      </c>
      <c r="W511" t="s">
        <v>7197</v>
      </c>
      <c r="X511" t="s">
        <v>7198</v>
      </c>
      <c r="Y511" t="s">
        <v>7199</v>
      </c>
      <c r="Z511" t="s">
        <v>7200</v>
      </c>
      <c r="AA511" t="s">
        <v>74</v>
      </c>
      <c r="AB511" t="s">
        <v>74</v>
      </c>
      <c r="AC511" t="s">
        <v>74</v>
      </c>
      <c r="AD511" t="s">
        <v>74</v>
      </c>
      <c r="AE511" t="s">
        <v>74</v>
      </c>
      <c r="AF511" t="s">
        <v>74</v>
      </c>
      <c r="AG511">
        <v>81</v>
      </c>
      <c r="AH511">
        <v>5</v>
      </c>
      <c r="AI511">
        <v>5</v>
      </c>
      <c r="AJ511">
        <v>0</v>
      </c>
      <c r="AK511">
        <v>13</v>
      </c>
      <c r="AL511" t="s">
        <v>74</v>
      </c>
      <c r="AM511" t="s">
        <v>74</v>
      </c>
      <c r="AN511" t="s">
        <v>74</v>
      </c>
      <c r="AO511" t="s">
        <v>7201</v>
      </c>
      <c r="AP511" t="s">
        <v>7202</v>
      </c>
      <c r="AQ511" t="s">
        <v>74</v>
      </c>
      <c r="AR511" t="s">
        <v>74</v>
      </c>
      <c r="AS511" t="s">
        <v>74</v>
      </c>
      <c r="AT511" t="s">
        <v>108</v>
      </c>
      <c r="AU511">
        <v>2014</v>
      </c>
      <c r="AV511">
        <v>37</v>
      </c>
      <c r="AW511">
        <v>1</v>
      </c>
      <c r="AX511" t="s">
        <v>74</v>
      </c>
      <c r="AY511" t="s">
        <v>74</v>
      </c>
      <c r="AZ511" t="s">
        <v>74</v>
      </c>
      <c r="BA511" t="s">
        <v>74</v>
      </c>
      <c r="BB511">
        <v>4</v>
      </c>
      <c r="BC511">
        <v>11</v>
      </c>
      <c r="BD511" t="s">
        <v>74</v>
      </c>
      <c r="BE511" t="s">
        <v>7203</v>
      </c>
      <c r="BF511" t="str">
        <f>HYPERLINK("http://dx.doi.org/10.1007/s11239-013-0965-1","http://dx.doi.org/10.1007/s11239-013-0965-1")</f>
        <v>http://dx.doi.org/10.1007/s11239-013-0965-1</v>
      </c>
      <c r="BG511" t="s">
        <v>74</v>
      </c>
      <c r="BH511" t="s">
        <v>74</v>
      </c>
      <c r="BI511" t="s">
        <v>74</v>
      </c>
      <c r="BJ511" t="s">
        <v>7204</v>
      </c>
      <c r="BK511" t="s">
        <v>112</v>
      </c>
      <c r="BL511" t="s">
        <v>7205</v>
      </c>
      <c r="BM511" t="s">
        <v>74</v>
      </c>
      <c r="BN511">
        <v>24046067</v>
      </c>
      <c r="BO511" t="s">
        <v>74</v>
      </c>
      <c r="BP511" t="s">
        <v>74</v>
      </c>
      <c r="BQ511" t="s">
        <v>74</v>
      </c>
      <c r="BR511" t="s">
        <v>93</v>
      </c>
      <c r="BS511" t="s">
        <v>7206</v>
      </c>
      <c r="BT511" t="str">
        <f>HYPERLINK("https%3A%2F%2Fwww.webofscience.com%2Fwos%2Fwoscc%2Ffull-record%2FWOS:000329941200002","View Full Record in Web of Science")</f>
        <v>View Full Record in Web of Science</v>
      </c>
    </row>
    <row r="512" spans="1:72" x14ac:dyDescent="0.15">
      <c r="A512" t="s">
        <v>72</v>
      </c>
      <c r="B512" t="s">
        <v>7311</v>
      </c>
      <c r="C512" t="s">
        <v>74</v>
      </c>
      <c r="D512" t="s">
        <v>74</v>
      </c>
      <c r="E512" t="s">
        <v>74</v>
      </c>
      <c r="F512" t="s">
        <v>7312</v>
      </c>
      <c r="G512" t="s">
        <v>74</v>
      </c>
      <c r="H512" t="s">
        <v>74</v>
      </c>
      <c r="I512" t="s">
        <v>7313</v>
      </c>
      <c r="J512" t="s">
        <v>1202</v>
      </c>
      <c r="K512" t="s">
        <v>74</v>
      </c>
      <c r="L512" t="s">
        <v>74</v>
      </c>
      <c r="M512" t="s">
        <v>74</v>
      </c>
      <c r="N512" t="s">
        <v>78</v>
      </c>
      <c r="O512" t="s">
        <v>74</v>
      </c>
      <c r="P512" t="s">
        <v>74</v>
      </c>
      <c r="Q512" t="s">
        <v>74</v>
      </c>
      <c r="R512" t="s">
        <v>74</v>
      </c>
      <c r="S512" t="s">
        <v>74</v>
      </c>
      <c r="T512" t="s">
        <v>7314</v>
      </c>
      <c r="U512" t="s">
        <v>7315</v>
      </c>
      <c r="V512" t="s">
        <v>7316</v>
      </c>
      <c r="W512" t="s">
        <v>7317</v>
      </c>
      <c r="X512" t="s">
        <v>7318</v>
      </c>
      <c r="Y512" t="s">
        <v>7319</v>
      </c>
      <c r="Z512" t="s">
        <v>7320</v>
      </c>
      <c r="AA512" t="s">
        <v>7321</v>
      </c>
      <c r="AB512" t="s">
        <v>7322</v>
      </c>
      <c r="AC512" t="s">
        <v>74</v>
      </c>
      <c r="AD512" t="s">
        <v>74</v>
      </c>
      <c r="AE512" t="s">
        <v>74</v>
      </c>
      <c r="AF512" t="s">
        <v>74</v>
      </c>
      <c r="AG512">
        <v>73</v>
      </c>
      <c r="AH512">
        <v>5</v>
      </c>
      <c r="AI512">
        <v>5</v>
      </c>
      <c r="AJ512">
        <v>3</v>
      </c>
      <c r="AK512">
        <v>5</v>
      </c>
      <c r="AL512" t="s">
        <v>74</v>
      </c>
      <c r="AM512" t="s">
        <v>74</v>
      </c>
      <c r="AN512" t="s">
        <v>74</v>
      </c>
      <c r="AO512" t="s">
        <v>1211</v>
      </c>
      <c r="AP512" t="s">
        <v>1212</v>
      </c>
      <c r="AQ512" t="s">
        <v>74</v>
      </c>
      <c r="AR512" t="s">
        <v>74</v>
      </c>
      <c r="AS512" t="s">
        <v>74</v>
      </c>
      <c r="AT512" t="s">
        <v>236</v>
      </c>
      <c r="AU512">
        <v>2020</v>
      </c>
      <c r="AV512">
        <v>510</v>
      </c>
      <c r="AW512" t="s">
        <v>74</v>
      </c>
      <c r="AX512" t="s">
        <v>74</v>
      </c>
      <c r="AY512" t="s">
        <v>74</v>
      </c>
      <c r="AZ512" t="s">
        <v>74</v>
      </c>
      <c r="BA512" t="s">
        <v>74</v>
      </c>
      <c r="BB512">
        <v>28</v>
      </c>
      <c r="BC512">
        <v>34</v>
      </c>
      <c r="BD512" t="s">
        <v>74</v>
      </c>
      <c r="BE512" t="s">
        <v>7323</v>
      </c>
      <c r="BF512" t="str">
        <f>HYPERLINK("http://dx.doi.org/10.1016/j.cca.2020.06.047","http://dx.doi.org/10.1016/j.cca.2020.06.047")</f>
        <v>http://dx.doi.org/10.1016/j.cca.2020.06.047</v>
      </c>
      <c r="BG512" t="s">
        <v>74</v>
      </c>
      <c r="BH512" t="s">
        <v>74</v>
      </c>
      <c r="BI512" t="s">
        <v>74</v>
      </c>
      <c r="BJ512" t="s">
        <v>1214</v>
      </c>
      <c r="BK512" t="s">
        <v>112</v>
      </c>
      <c r="BL512" t="s">
        <v>1214</v>
      </c>
      <c r="BM512" t="s">
        <v>74</v>
      </c>
      <c r="BN512">
        <v>32622965</v>
      </c>
      <c r="BO512" t="s">
        <v>74</v>
      </c>
      <c r="BP512" t="s">
        <v>74</v>
      </c>
      <c r="BQ512" t="s">
        <v>74</v>
      </c>
      <c r="BR512" t="s">
        <v>93</v>
      </c>
      <c r="BS512" t="s">
        <v>7324</v>
      </c>
      <c r="BT512" t="str">
        <f>HYPERLINK("https%3A%2F%2Fwww.webofscience.com%2Fwos%2Fwoscc%2Ffull-record%2FWOS:000582504300008","View Full Record in Web of Science")</f>
        <v>View Full Record in Web of Science</v>
      </c>
    </row>
    <row r="513" spans="1:72" x14ac:dyDescent="0.15">
      <c r="A513" t="s">
        <v>72</v>
      </c>
      <c r="B513" t="s">
        <v>8143</v>
      </c>
      <c r="C513" t="s">
        <v>74</v>
      </c>
      <c r="D513" t="s">
        <v>74</v>
      </c>
      <c r="E513" t="s">
        <v>74</v>
      </c>
      <c r="F513" t="s">
        <v>8144</v>
      </c>
      <c r="G513" t="s">
        <v>74</v>
      </c>
      <c r="H513" t="s">
        <v>74</v>
      </c>
      <c r="I513" t="s">
        <v>8145</v>
      </c>
      <c r="J513" t="s">
        <v>354</v>
      </c>
      <c r="K513" t="s">
        <v>74</v>
      </c>
      <c r="L513" t="s">
        <v>74</v>
      </c>
      <c r="M513" t="s">
        <v>74</v>
      </c>
      <c r="N513" t="s">
        <v>78</v>
      </c>
      <c r="O513" t="s">
        <v>74</v>
      </c>
      <c r="P513" t="s">
        <v>74</v>
      </c>
      <c r="Q513" t="s">
        <v>74</v>
      </c>
      <c r="R513" t="s">
        <v>74</v>
      </c>
      <c r="S513" t="s">
        <v>74</v>
      </c>
      <c r="T513" t="s">
        <v>8146</v>
      </c>
      <c r="U513" t="s">
        <v>8147</v>
      </c>
      <c r="V513" t="s">
        <v>8148</v>
      </c>
      <c r="W513" t="s">
        <v>8149</v>
      </c>
      <c r="X513" t="s">
        <v>8150</v>
      </c>
      <c r="Y513" t="s">
        <v>8151</v>
      </c>
      <c r="Z513" t="s">
        <v>8152</v>
      </c>
      <c r="AA513" t="s">
        <v>74</v>
      </c>
      <c r="AB513" t="s">
        <v>74</v>
      </c>
      <c r="AC513" t="s">
        <v>74</v>
      </c>
      <c r="AD513" t="s">
        <v>74</v>
      </c>
      <c r="AE513" t="s">
        <v>74</v>
      </c>
      <c r="AF513" t="s">
        <v>74</v>
      </c>
      <c r="AG513">
        <v>44</v>
      </c>
      <c r="AH513">
        <v>5</v>
      </c>
      <c r="AI513">
        <v>5</v>
      </c>
      <c r="AJ513">
        <v>3</v>
      </c>
      <c r="AK513">
        <v>3</v>
      </c>
      <c r="AL513" t="s">
        <v>74</v>
      </c>
      <c r="AM513" t="s">
        <v>74</v>
      </c>
      <c r="AN513" t="s">
        <v>74</v>
      </c>
      <c r="AO513" t="s">
        <v>362</v>
      </c>
      <c r="AP513" t="s">
        <v>363</v>
      </c>
      <c r="AQ513" t="s">
        <v>74</v>
      </c>
      <c r="AR513" t="s">
        <v>74</v>
      </c>
      <c r="AS513" t="s">
        <v>74</v>
      </c>
      <c r="AT513" t="s">
        <v>4656</v>
      </c>
      <c r="AU513">
        <v>2021</v>
      </c>
      <c r="AV513">
        <v>40</v>
      </c>
      <c r="AW513">
        <v>4</v>
      </c>
      <c r="AX513" t="s">
        <v>74</v>
      </c>
      <c r="AY513" t="s">
        <v>74</v>
      </c>
      <c r="AZ513" t="s">
        <v>74</v>
      </c>
      <c r="BA513" t="s">
        <v>74</v>
      </c>
      <c r="BB513">
        <v>568</v>
      </c>
      <c r="BC513">
        <v>579</v>
      </c>
      <c r="BD513" t="s">
        <v>74</v>
      </c>
      <c r="BE513" t="s">
        <v>8153</v>
      </c>
      <c r="BF513" t="str">
        <f>HYPERLINK("http://dx.doi.org/10.1089/dna.2020.6356","http://dx.doi.org/10.1089/dna.2020.6356")</f>
        <v>http://dx.doi.org/10.1089/dna.2020.6356</v>
      </c>
      <c r="BG513" t="s">
        <v>74</v>
      </c>
      <c r="BH513" t="s">
        <v>2200</v>
      </c>
      <c r="BI513" t="s">
        <v>74</v>
      </c>
      <c r="BJ513" t="s">
        <v>367</v>
      </c>
      <c r="BK513" t="s">
        <v>112</v>
      </c>
      <c r="BL513" t="s">
        <v>367</v>
      </c>
      <c r="BM513" t="s">
        <v>74</v>
      </c>
      <c r="BN513">
        <v>33651959</v>
      </c>
      <c r="BO513" t="s">
        <v>74</v>
      </c>
      <c r="BP513" t="s">
        <v>74</v>
      </c>
      <c r="BQ513" t="s">
        <v>74</v>
      </c>
      <c r="BR513" t="s">
        <v>93</v>
      </c>
      <c r="BS513" t="s">
        <v>8154</v>
      </c>
      <c r="BT513" t="str">
        <f>HYPERLINK("https%3A%2F%2Fwww.webofscience.com%2Fwos%2Fwoscc%2Ffull-record%2FWOS:000625292900001","View Full Record in Web of Science")</f>
        <v>View Full Record in Web of Science</v>
      </c>
    </row>
    <row r="514" spans="1:72" x14ac:dyDescent="0.15">
      <c r="A514" t="s">
        <v>72</v>
      </c>
      <c r="B514" t="s">
        <v>8212</v>
      </c>
      <c r="C514" t="s">
        <v>74</v>
      </c>
      <c r="D514" t="s">
        <v>74</v>
      </c>
      <c r="E514" t="s">
        <v>74</v>
      </c>
      <c r="F514" t="s">
        <v>8213</v>
      </c>
      <c r="G514" t="s">
        <v>74</v>
      </c>
      <c r="H514" t="s">
        <v>74</v>
      </c>
      <c r="I514" t="s">
        <v>8214</v>
      </c>
      <c r="J514" t="s">
        <v>3797</v>
      </c>
      <c r="K514" t="s">
        <v>74</v>
      </c>
      <c r="L514" t="s">
        <v>74</v>
      </c>
      <c r="M514" t="s">
        <v>74</v>
      </c>
      <c r="N514" t="s">
        <v>78</v>
      </c>
      <c r="O514" t="s">
        <v>74</v>
      </c>
      <c r="P514" t="s">
        <v>74</v>
      </c>
      <c r="Q514" t="s">
        <v>74</v>
      </c>
      <c r="R514" t="s">
        <v>74</v>
      </c>
      <c r="S514" t="s">
        <v>74</v>
      </c>
      <c r="T514" t="s">
        <v>8215</v>
      </c>
      <c r="U514" t="s">
        <v>74</v>
      </c>
      <c r="V514" t="s">
        <v>8216</v>
      </c>
      <c r="W514" t="s">
        <v>8217</v>
      </c>
      <c r="X514" t="s">
        <v>8218</v>
      </c>
      <c r="Y514" t="s">
        <v>8219</v>
      </c>
      <c r="Z514" t="s">
        <v>8220</v>
      </c>
      <c r="AA514" t="s">
        <v>74</v>
      </c>
      <c r="AB514" t="s">
        <v>74</v>
      </c>
      <c r="AC514" t="s">
        <v>74</v>
      </c>
      <c r="AD514" t="s">
        <v>74</v>
      </c>
      <c r="AE514" t="s">
        <v>74</v>
      </c>
      <c r="AF514" t="s">
        <v>74</v>
      </c>
      <c r="AG514">
        <v>0</v>
      </c>
      <c r="AH514">
        <v>5</v>
      </c>
      <c r="AI514">
        <v>5</v>
      </c>
      <c r="AJ514">
        <v>55</v>
      </c>
      <c r="AK514">
        <v>103</v>
      </c>
      <c r="AL514" t="s">
        <v>74</v>
      </c>
      <c r="AM514" t="s">
        <v>74</v>
      </c>
      <c r="AN514" t="s">
        <v>74</v>
      </c>
      <c r="AO514" t="s">
        <v>3805</v>
      </c>
      <c r="AP514" t="s">
        <v>3806</v>
      </c>
      <c r="AQ514" t="s">
        <v>74</v>
      </c>
      <c r="AR514" t="s">
        <v>74</v>
      </c>
      <c r="AS514" t="s">
        <v>74</v>
      </c>
      <c r="AT514" t="s">
        <v>485</v>
      </c>
      <c r="AU514">
        <v>2022</v>
      </c>
      <c r="AV514">
        <v>61</v>
      </c>
      <c r="AW514">
        <v>1</v>
      </c>
      <c r="AX514" t="s">
        <v>74</v>
      </c>
      <c r="AY514" t="s">
        <v>74</v>
      </c>
      <c r="AZ514" t="s">
        <v>74</v>
      </c>
      <c r="BA514" t="s">
        <v>74</v>
      </c>
      <c r="BB514" t="s">
        <v>74</v>
      </c>
      <c r="BC514" t="s">
        <v>74</v>
      </c>
      <c r="BD514" t="s">
        <v>74</v>
      </c>
      <c r="BE514" t="s">
        <v>8221</v>
      </c>
      <c r="BF514" t="str">
        <f>HYPERLINK("http://dx.doi.org/10.1002/anie.202111647","http://dx.doi.org/10.1002/anie.202111647")</f>
        <v>http://dx.doi.org/10.1002/anie.202111647</v>
      </c>
      <c r="BG514" t="s">
        <v>74</v>
      </c>
      <c r="BH514" t="s">
        <v>820</v>
      </c>
      <c r="BI514" t="s">
        <v>74</v>
      </c>
      <c r="BJ514" t="s">
        <v>3810</v>
      </c>
      <c r="BK514" t="s">
        <v>112</v>
      </c>
      <c r="BL514" t="s">
        <v>1197</v>
      </c>
      <c r="BM514" t="s">
        <v>74</v>
      </c>
      <c r="BN514">
        <v>34637590</v>
      </c>
      <c r="BO514" t="s">
        <v>74</v>
      </c>
      <c r="BP514" t="s">
        <v>74</v>
      </c>
      <c r="BQ514" t="s">
        <v>74</v>
      </c>
      <c r="BR514" t="s">
        <v>93</v>
      </c>
      <c r="BS514" t="s">
        <v>8222</v>
      </c>
      <c r="BT514" t="str">
        <f>HYPERLINK("https%3A%2F%2Fwww.webofscience.com%2Fwos%2Fwoscc%2Ffull-record%2FWOS:000722294200001","View Full Record in Web of Science")</f>
        <v>View Full Record in Web of Science</v>
      </c>
    </row>
    <row r="515" spans="1:72" x14ac:dyDescent="0.15">
      <c r="A515" t="s">
        <v>72</v>
      </c>
      <c r="B515" t="s">
        <v>8524</v>
      </c>
      <c r="C515" t="s">
        <v>74</v>
      </c>
      <c r="D515" t="s">
        <v>74</v>
      </c>
      <c r="E515" t="s">
        <v>74</v>
      </c>
      <c r="F515" t="s">
        <v>8525</v>
      </c>
      <c r="G515" t="s">
        <v>74</v>
      </c>
      <c r="H515" t="s">
        <v>74</v>
      </c>
      <c r="I515" t="s">
        <v>8526</v>
      </c>
      <c r="J515" t="s">
        <v>8527</v>
      </c>
      <c r="K515" t="s">
        <v>74</v>
      </c>
      <c r="L515" t="s">
        <v>74</v>
      </c>
      <c r="M515" t="s">
        <v>74</v>
      </c>
      <c r="N515" t="s">
        <v>78</v>
      </c>
      <c r="O515" t="s">
        <v>74</v>
      </c>
      <c r="P515" t="s">
        <v>74</v>
      </c>
      <c r="Q515" t="s">
        <v>74</v>
      </c>
      <c r="R515" t="s">
        <v>74</v>
      </c>
      <c r="S515" t="s">
        <v>74</v>
      </c>
      <c r="T515" t="s">
        <v>8528</v>
      </c>
      <c r="U515" t="s">
        <v>8529</v>
      </c>
      <c r="V515" t="s">
        <v>8530</v>
      </c>
      <c r="W515" t="s">
        <v>8531</v>
      </c>
      <c r="X515" t="s">
        <v>8532</v>
      </c>
      <c r="Y515" t="s">
        <v>8533</v>
      </c>
      <c r="Z515" t="s">
        <v>8534</v>
      </c>
      <c r="AA515" t="s">
        <v>74</v>
      </c>
      <c r="AB515" t="s">
        <v>8535</v>
      </c>
      <c r="AC515" t="s">
        <v>74</v>
      </c>
      <c r="AD515" t="s">
        <v>74</v>
      </c>
      <c r="AE515" t="s">
        <v>74</v>
      </c>
      <c r="AF515" t="s">
        <v>74</v>
      </c>
      <c r="AG515">
        <v>78</v>
      </c>
      <c r="AH515">
        <v>5</v>
      </c>
      <c r="AI515">
        <v>5</v>
      </c>
      <c r="AJ515">
        <v>1</v>
      </c>
      <c r="AK515">
        <v>10</v>
      </c>
      <c r="AL515" t="s">
        <v>74</v>
      </c>
      <c r="AM515" t="s">
        <v>74</v>
      </c>
      <c r="AN515" t="s">
        <v>74</v>
      </c>
      <c r="AO515" t="s">
        <v>8536</v>
      </c>
      <c r="AP515" t="s">
        <v>74</v>
      </c>
      <c r="AQ515" t="s">
        <v>74</v>
      </c>
      <c r="AR515" t="s">
        <v>74</v>
      </c>
      <c r="AS515" t="s">
        <v>74</v>
      </c>
      <c r="AT515" t="s">
        <v>74</v>
      </c>
      <c r="AU515">
        <v>2021</v>
      </c>
      <c r="AV515">
        <v>14</v>
      </c>
      <c r="AW515" t="s">
        <v>74</v>
      </c>
      <c r="AX515" t="s">
        <v>74</v>
      </c>
      <c r="AY515" t="s">
        <v>74</v>
      </c>
      <c r="AZ515" t="s">
        <v>74</v>
      </c>
      <c r="BA515" t="s">
        <v>74</v>
      </c>
      <c r="BB515">
        <v>271</v>
      </c>
      <c r="BC515">
        <v>287</v>
      </c>
      <c r="BD515" t="s">
        <v>74</v>
      </c>
      <c r="BE515" t="s">
        <v>8537</v>
      </c>
      <c r="BF515" t="str">
        <f>HYPERLINK("http://dx.doi.org/10.2147/OTT.S281175","http://dx.doi.org/10.2147/OTT.S281175")</f>
        <v>http://dx.doi.org/10.2147/OTT.S281175</v>
      </c>
      <c r="BG515" t="s">
        <v>74</v>
      </c>
      <c r="BH515" t="s">
        <v>74</v>
      </c>
      <c r="BI515" t="s">
        <v>74</v>
      </c>
      <c r="BJ515" t="s">
        <v>8538</v>
      </c>
      <c r="BK515" t="s">
        <v>112</v>
      </c>
      <c r="BL515" t="s">
        <v>8538</v>
      </c>
      <c r="BM515" t="s">
        <v>74</v>
      </c>
      <c r="BN515">
        <v>33488093</v>
      </c>
      <c r="BO515" t="s">
        <v>74</v>
      </c>
      <c r="BP515" t="s">
        <v>74</v>
      </c>
      <c r="BQ515" t="s">
        <v>74</v>
      </c>
      <c r="BR515" t="s">
        <v>93</v>
      </c>
      <c r="BS515" t="s">
        <v>8539</v>
      </c>
      <c r="BT515" t="str">
        <f>HYPERLINK("https%3A%2F%2Fwww.webofscience.com%2Fwos%2Fwoscc%2Ffull-record%2FWOS:000607627300001","View Full Record in Web of Science")</f>
        <v>View Full Record in Web of Science</v>
      </c>
    </row>
    <row r="516" spans="1:72" x14ac:dyDescent="0.15">
      <c r="A516" t="s">
        <v>72</v>
      </c>
      <c r="B516" t="s">
        <v>8998</v>
      </c>
      <c r="C516" t="s">
        <v>74</v>
      </c>
      <c r="D516" t="s">
        <v>74</v>
      </c>
      <c r="E516" t="s">
        <v>74</v>
      </c>
      <c r="F516" t="s">
        <v>8999</v>
      </c>
      <c r="G516" t="s">
        <v>74</v>
      </c>
      <c r="H516" t="s">
        <v>74</v>
      </c>
      <c r="I516" t="s">
        <v>9000</v>
      </c>
      <c r="J516" t="s">
        <v>992</v>
      </c>
      <c r="K516" t="s">
        <v>74</v>
      </c>
      <c r="L516" t="s">
        <v>74</v>
      </c>
      <c r="M516" t="s">
        <v>74</v>
      </c>
      <c r="N516" t="s">
        <v>78</v>
      </c>
      <c r="O516" t="s">
        <v>74</v>
      </c>
      <c r="P516" t="s">
        <v>74</v>
      </c>
      <c r="Q516" t="s">
        <v>74</v>
      </c>
      <c r="R516" t="s">
        <v>74</v>
      </c>
      <c r="S516" t="s">
        <v>74</v>
      </c>
      <c r="T516" t="s">
        <v>9001</v>
      </c>
      <c r="U516" t="s">
        <v>9002</v>
      </c>
      <c r="V516" t="s">
        <v>9003</v>
      </c>
      <c r="W516" t="s">
        <v>9004</v>
      </c>
      <c r="X516" t="s">
        <v>9005</v>
      </c>
      <c r="Y516" t="s">
        <v>9006</v>
      </c>
      <c r="Z516" t="s">
        <v>9007</v>
      </c>
      <c r="AA516" t="s">
        <v>74</v>
      </c>
      <c r="AB516" t="s">
        <v>74</v>
      </c>
      <c r="AC516" t="s">
        <v>74</v>
      </c>
      <c r="AD516" t="s">
        <v>74</v>
      </c>
      <c r="AE516" t="s">
        <v>74</v>
      </c>
      <c r="AF516" t="s">
        <v>74</v>
      </c>
      <c r="AG516">
        <v>63</v>
      </c>
      <c r="AH516">
        <v>5</v>
      </c>
      <c r="AI516">
        <v>5</v>
      </c>
      <c r="AJ516">
        <v>49</v>
      </c>
      <c r="AK516">
        <v>92</v>
      </c>
      <c r="AL516" t="s">
        <v>74</v>
      </c>
      <c r="AM516" t="s">
        <v>74</v>
      </c>
      <c r="AN516" t="s">
        <v>74</v>
      </c>
      <c r="AO516" t="s">
        <v>1001</v>
      </c>
      <c r="AP516" t="s">
        <v>1002</v>
      </c>
      <c r="AQ516" t="s">
        <v>74</v>
      </c>
      <c r="AR516" t="s">
        <v>74</v>
      </c>
      <c r="AS516" t="s">
        <v>74</v>
      </c>
      <c r="AT516" t="s">
        <v>3885</v>
      </c>
      <c r="AU516">
        <v>2022</v>
      </c>
      <c r="AV516">
        <v>199</v>
      </c>
      <c r="AW516" t="s">
        <v>74</v>
      </c>
      <c r="AX516" t="s">
        <v>74</v>
      </c>
      <c r="AY516" t="s">
        <v>74</v>
      </c>
      <c r="AZ516" t="s">
        <v>74</v>
      </c>
      <c r="BA516" t="s">
        <v>74</v>
      </c>
      <c r="BB516" t="s">
        <v>74</v>
      </c>
      <c r="BC516" t="s">
        <v>74</v>
      </c>
      <c r="BD516">
        <v>113864</v>
      </c>
      <c r="BE516" t="s">
        <v>9008</v>
      </c>
      <c r="BF516" t="str">
        <f>HYPERLINK("http://dx.doi.org/10.1016/j.bios.2021.113864","http://dx.doi.org/10.1016/j.bios.2021.113864")</f>
        <v>http://dx.doi.org/10.1016/j.bios.2021.113864</v>
      </c>
      <c r="BG516" t="s">
        <v>74</v>
      </c>
      <c r="BH516" t="s">
        <v>2122</v>
      </c>
      <c r="BI516" t="s">
        <v>74</v>
      </c>
      <c r="BJ516" t="s">
        <v>1006</v>
      </c>
      <c r="BK516" t="s">
        <v>112</v>
      </c>
      <c r="BL516" t="s">
        <v>1007</v>
      </c>
      <c r="BM516" t="s">
        <v>74</v>
      </c>
      <c r="BN516">
        <v>34890883</v>
      </c>
      <c r="BO516" t="s">
        <v>74</v>
      </c>
      <c r="BP516" t="s">
        <v>74</v>
      </c>
      <c r="BQ516" t="s">
        <v>74</v>
      </c>
      <c r="BR516" t="s">
        <v>93</v>
      </c>
      <c r="BS516" t="s">
        <v>9009</v>
      </c>
      <c r="BT516" t="str">
        <f>HYPERLINK("https%3A%2F%2Fwww.webofscience.com%2Fwos%2Fwoscc%2Ffull-record%2FWOS:000729387400001","View Full Record in Web of Science")</f>
        <v>View Full Record in Web of Science</v>
      </c>
    </row>
    <row r="517" spans="1:72" x14ac:dyDescent="0.15">
      <c r="A517" t="s">
        <v>72</v>
      </c>
      <c r="B517" t="s">
        <v>9612</v>
      </c>
      <c r="C517" t="s">
        <v>74</v>
      </c>
      <c r="D517" t="s">
        <v>74</v>
      </c>
      <c r="E517" t="s">
        <v>74</v>
      </c>
      <c r="F517" t="s">
        <v>9613</v>
      </c>
      <c r="G517" t="s">
        <v>74</v>
      </c>
      <c r="H517" t="s">
        <v>74</v>
      </c>
      <c r="I517" t="s">
        <v>9614</v>
      </c>
      <c r="J517" t="s">
        <v>9615</v>
      </c>
      <c r="K517" t="s">
        <v>74</v>
      </c>
      <c r="L517" t="s">
        <v>74</v>
      </c>
      <c r="M517" t="s">
        <v>74</v>
      </c>
      <c r="N517" t="s">
        <v>78</v>
      </c>
      <c r="O517" t="s">
        <v>74</v>
      </c>
      <c r="P517" t="s">
        <v>74</v>
      </c>
      <c r="Q517" t="s">
        <v>74</v>
      </c>
      <c r="R517" t="s">
        <v>74</v>
      </c>
      <c r="S517" t="s">
        <v>74</v>
      </c>
      <c r="T517" t="s">
        <v>9616</v>
      </c>
      <c r="U517" t="s">
        <v>9617</v>
      </c>
      <c r="V517" t="s">
        <v>9618</v>
      </c>
      <c r="W517" t="s">
        <v>9619</v>
      </c>
      <c r="X517" t="s">
        <v>9620</v>
      </c>
      <c r="Y517" t="s">
        <v>9621</v>
      </c>
      <c r="Z517" t="s">
        <v>9622</v>
      </c>
      <c r="AA517" t="s">
        <v>9623</v>
      </c>
      <c r="AB517" t="s">
        <v>9624</v>
      </c>
      <c r="AC517" t="s">
        <v>74</v>
      </c>
      <c r="AD517" t="s">
        <v>74</v>
      </c>
      <c r="AE517" t="s">
        <v>74</v>
      </c>
      <c r="AF517" t="s">
        <v>74</v>
      </c>
      <c r="AG517">
        <v>43</v>
      </c>
      <c r="AH517">
        <v>5</v>
      </c>
      <c r="AI517">
        <v>5</v>
      </c>
      <c r="AJ517">
        <v>3</v>
      </c>
      <c r="AK517">
        <v>7</v>
      </c>
      <c r="AL517" t="s">
        <v>74</v>
      </c>
      <c r="AM517" t="s">
        <v>74</v>
      </c>
      <c r="AN517" t="s">
        <v>74</v>
      </c>
      <c r="AO517" t="s">
        <v>9625</v>
      </c>
      <c r="AP517" t="s">
        <v>74</v>
      </c>
      <c r="AQ517" t="s">
        <v>74</v>
      </c>
      <c r="AR517" t="s">
        <v>74</v>
      </c>
      <c r="AS517" t="s">
        <v>74</v>
      </c>
      <c r="AT517" t="s">
        <v>74</v>
      </c>
      <c r="AU517">
        <v>2021</v>
      </c>
      <c r="AV517">
        <v>17</v>
      </c>
      <c r="AW517">
        <v>4</v>
      </c>
      <c r="AX517" t="s">
        <v>74</v>
      </c>
      <c r="AY517" t="s">
        <v>74</v>
      </c>
      <c r="AZ517" t="s">
        <v>74</v>
      </c>
      <c r="BA517" t="s">
        <v>74</v>
      </c>
      <c r="BB517">
        <v>1061</v>
      </c>
      <c r="BC517">
        <v>1078</v>
      </c>
      <c r="BD517" t="s">
        <v>74</v>
      </c>
      <c r="BE517" t="s">
        <v>9626</v>
      </c>
      <c r="BF517" t="str">
        <f>HYPERLINK("http://dx.doi.org/10.7150/ijbs.57168","http://dx.doi.org/10.7150/ijbs.57168")</f>
        <v>http://dx.doi.org/10.7150/ijbs.57168</v>
      </c>
      <c r="BG517" t="s">
        <v>74</v>
      </c>
      <c r="BH517" t="s">
        <v>74</v>
      </c>
      <c r="BI517" t="s">
        <v>74</v>
      </c>
      <c r="BJ517" t="s">
        <v>9384</v>
      </c>
      <c r="BK517" t="s">
        <v>112</v>
      </c>
      <c r="BL517" t="s">
        <v>9385</v>
      </c>
      <c r="BM517" t="s">
        <v>74</v>
      </c>
      <c r="BN517">
        <v>33867829</v>
      </c>
      <c r="BO517" t="s">
        <v>74</v>
      </c>
      <c r="BP517" t="s">
        <v>74</v>
      </c>
      <c r="BQ517" t="s">
        <v>74</v>
      </c>
      <c r="BR517" t="s">
        <v>93</v>
      </c>
      <c r="BS517" t="s">
        <v>9627</v>
      </c>
      <c r="BT517" t="str">
        <f>HYPERLINK("https%3A%2F%2Fwww.webofscience.com%2Fwos%2Fwoscc%2Ffull-record%2FWOS:000632774700012","View Full Record in Web of Science")</f>
        <v>View Full Record in Web of Science</v>
      </c>
    </row>
    <row r="518" spans="1:72" x14ac:dyDescent="0.15">
      <c r="A518" t="s">
        <v>312</v>
      </c>
      <c r="B518" t="s">
        <v>9628</v>
      </c>
      <c r="C518" t="s">
        <v>74</v>
      </c>
      <c r="D518" t="s">
        <v>9629</v>
      </c>
      <c r="E518" t="s">
        <v>74</v>
      </c>
      <c r="F518" t="s">
        <v>9630</v>
      </c>
      <c r="G518" t="s">
        <v>74</v>
      </c>
      <c r="H518" t="s">
        <v>74</v>
      </c>
      <c r="I518" t="s">
        <v>9631</v>
      </c>
      <c r="J518" t="s">
        <v>9632</v>
      </c>
      <c r="K518" t="s">
        <v>318</v>
      </c>
      <c r="L518" t="s">
        <v>74</v>
      </c>
      <c r="M518" t="s">
        <v>74</v>
      </c>
      <c r="N518" t="s">
        <v>319</v>
      </c>
      <c r="O518" t="s">
        <v>74</v>
      </c>
      <c r="P518" t="s">
        <v>74</v>
      </c>
      <c r="Q518" t="s">
        <v>74</v>
      </c>
      <c r="R518" t="s">
        <v>74</v>
      </c>
      <c r="S518" t="s">
        <v>74</v>
      </c>
      <c r="T518" t="s">
        <v>9633</v>
      </c>
      <c r="U518" t="s">
        <v>9634</v>
      </c>
      <c r="V518" t="s">
        <v>9635</v>
      </c>
      <c r="W518" t="s">
        <v>9636</v>
      </c>
      <c r="X518" t="s">
        <v>9637</v>
      </c>
      <c r="Y518" t="s">
        <v>9638</v>
      </c>
      <c r="Z518" t="s">
        <v>74</v>
      </c>
      <c r="AA518" t="s">
        <v>9639</v>
      </c>
      <c r="AB518" t="s">
        <v>9640</v>
      </c>
      <c r="AC518" t="s">
        <v>74</v>
      </c>
      <c r="AD518" t="s">
        <v>74</v>
      </c>
      <c r="AE518" t="s">
        <v>74</v>
      </c>
      <c r="AF518" t="s">
        <v>74</v>
      </c>
      <c r="AG518">
        <v>34</v>
      </c>
      <c r="AH518">
        <v>5</v>
      </c>
      <c r="AI518">
        <v>5</v>
      </c>
      <c r="AJ518">
        <v>1</v>
      </c>
      <c r="AK518">
        <v>4</v>
      </c>
      <c r="AL518" t="s">
        <v>74</v>
      </c>
      <c r="AM518" t="s">
        <v>74</v>
      </c>
      <c r="AN518" t="s">
        <v>74</v>
      </c>
      <c r="AO518" t="s">
        <v>328</v>
      </c>
      <c r="AP518" t="s">
        <v>329</v>
      </c>
      <c r="AQ518" t="s">
        <v>9641</v>
      </c>
      <c r="AR518" t="s">
        <v>74</v>
      </c>
      <c r="AS518" t="s">
        <v>74</v>
      </c>
      <c r="AT518" t="s">
        <v>74</v>
      </c>
      <c r="AU518">
        <v>2019</v>
      </c>
      <c r="AV518">
        <v>1881</v>
      </c>
      <c r="AW518" t="s">
        <v>74</v>
      </c>
      <c r="AX518" t="s">
        <v>74</v>
      </c>
      <c r="AY518" t="s">
        <v>74</v>
      </c>
      <c r="AZ518" t="s">
        <v>74</v>
      </c>
      <c r="BA518" t="s">
        <v>74</v>
      </c>
      <c r="BB518">
        <v>253</v>
      </c>
      <c r="BC518">
        <v>265</v>
      </c>
      <c r="BD518" t="s">
        <v>74</v>
      </c>
      <c r="BE518" t="s">
        <v>9642</v>
      </c>
      <c r="BF518" t="str">
        <f>HYPERLINK("http://dx.doi.org/10.1007/978-1-4939-8876-1_19","http://dx.doi.org/10.1007/978-1-4939-8876-1_19")</f>
        <v>http://dx.doi.org/10.1007/978-1-4939-8876-1_19</v>
      </c>
      <c r="BG518" t="s">
        <v>9643</v>
      </c>
      <c r="BH518" t="s">
        <v>74</v>
      </c>
      <c r="BI518" t="s">
        <v>74</v>
      </c>
      <c r="BJ518" t="s">
        <v>9644</v>
      </c>
      <c r="BK518" t="s">
        <v>334</v>
      </c>
      <c r="BL518" t="s">
        <v>9644</v>
      </c>
      <c r="BM518" t="s">
        <v>74</v>
      </c>
      <c r="BN518">
        <v>30350211</v>
      </c>
      <c r="BO518" t="s">
        <v>74</v>
      </c>
      <c r="BP518" t="s">
        <v>74</v>
      </c>
      <c r="BQ518" t="s">
        <v>74</v>
      </c>
      <c r="BR518" t="s">
        <v>93</v>
      </c>
      <c r="BS518" t="s">
        <v>9645</v>
      </c>
      <c r="BT518" t="str">
        <f>HYPERLINK("https%3A%2F%2Fwww.webofscience.com%2Fwos%2Fwoscc%2Ffull-record%2FWOS:000683074300020","View Full Record in Web of Science")</f>
        <v>View Full Record in Web of Science</v>
      </c>
    </row>
    <row r="519" spans="1:72" x14ac:dyDescent="0.15">
      <c r="A519" t="s">
        <v>72</v>
      </c>
      <c r="B519" t="s">
        <v>10360</v>
      </c>
      <c r="C519" t="s">
        <v>74</v>
      </c>
      <c r="D519" t="s">
        <v>74</v>
      </c>
      <c r="E519" t="s">
        <v>74</v>
      </c>
      <c r="F519" t="s">
        <v>10361</v>
      </c>
      <c r="G519" t="s">
        <v>74</v>
      </c>
      <c r="H519" t="s">
        <v>74</v>
      </c>
      <c r="I519" t="s">
        <v>10362</v>
      </c>
      <c r="J519" t="s">
        <v>2076</v>
      </c>
      <c r="K519" t="s">
        <v>74</v>
      </c>
      <c r="L519" t="s">
        <v>74</v>
      </c>
      <c r="M519" t="s">
        <v>74</v>
      </c>
      <c r="N519" t="s">
        <v>78</v>
      </c>
      <c r="O519" t="s">
        <v>74</v>
      </c>
      <c r="P519" t="s">
        <v>74</v>
      </c>
      <c r="Q519" t="s">
        <v>74</v>
      </c>
      <c r="R519" t="s">
        <v>74</v>
      </c>
      <c r="S519" t="s">
        <v>74</v>
      </c>
      <c r="T519" t="s">
        <v>10363</v>
      </c>
      <c r="U519" t="s">
        <v>10364</v>
      </c>
      <c r="V519" t="s">
        <v>10365</v>
      </c>
      <c r="W519" t="s">
        <v>10366</v>
      </c>
      <c r="X519" t="s">
        <v>10367</v>
      </c>
      <c r="Y519" t="s">
        <v>10368</v>
      </c>
      <c r="Z519" t="s">
        <v>10369</v>
      </c>
      <c r="AA519" t="s">
        <v>10370</v>
      </c>
      <c r="AB519" t="s">
        <v>10371</v>
      </c>
      <c r="AC519" t="s">
        <v>74</v>
      </c>
      <c r="AD519" t="s">
        <v>74</v>
      </c>
      <c r="AE519" t="s">
        <v>74</v>
      </c>
      <c r="AF519" t="s">
        <v>74</v>
      </c>
      <c r="AG519">
        <v>52</v>
      </c>
      <c r="AH519">
        <v>5</v>
      </c>
      <c r="AI519">
        <v>5</v>
      </c>
      <c r="AJ519">
        <v>3</v>
      </c>
      <c r="AK519">
        <v>6</v>
      </c>
      <c r="AL519" t="s">
        <v>74</v>
      </c>
      <c r="AM519" t="s">
        <v>74</v>
      </c>
      <c r="AN519" t="s">
        <v>74</v>
      </c>
      <c r="AO519" t="s">
        <v>2086</v>
      </c>
      <c r="AP519" t="s">
        <v>74</v>
      </c>
      <c r="AQ519" t="s">
        <v>74</v>
      </c>
      <c r="AR519" t="s">
        <v>74</v>
      </c>
      <c r="AS519" t="s">
        <v>74</v>
      </c>
      <c r="AT519" t="s">
        <v>5070</v>
      </c>
      <c r="AU519">
        <v>2020</v>
      </c>
      <c r="AV519">
        <v>10</v>
      </c>
      <c r="AW519" t="s">
        <v>74</v>
      </c>
      <c r="AX519" t="s">
        <v>74</v>
      </c>
      <c r="AY519" t="s">
        <v>74</v>
      </c>
      <c r="AZ519" t="s">
        <v>74</v>
      </c>
      <c r="BA519" t="s">
        <v>74</v>
      </c>
      <c r="BB519" t="s">
        <v>74</v>
      </c>
      <c r="BC519" t="s">
        <v>74</v>
      </c>
      <c r="BD519">
        <v>588155</v>
      </c>
      <c r="BE519" t="s">
        <v>10372</v>
      </c>
      <c r="BF519" t="str">
        <f>HYPERLINK("http://dx.doi.org/10.3389/fcimb.2020.588155","http://dx.doi.org/10.3389/fcimb.2020.588155")</f>
        <v>http://dx.doi.org/10.3389/fcimb.2020.588155</v>
      </c>
      <c r="BG519" t="s">
        <v>74</v>
      </c>
      <c r="BH519" t="s">
        <v>74</v>
      </c>
      <c r="BI519" t="s">
        <v>74</v>
      </c>
      <c r="BJ519" t="s">
        <v>2089</v>
      </c>
      <c r="BK519" t="s">
        <v>112</v>
      </c>
      <c r="BL519" t="s">
        <v>2089</v>
      </c>
      <c r="BM519" t="s">
        <v>74</v>
      </c>
      <c r="BN519">
        <v>33117738</v>
      </c>
      <c r="BO519" t="s">
        <v>74</v>
      </c>
      <c r="BP519" t="s">
        <v>74</v>
      </c>
      <c r="BQ519" t="s">
        <v>74</v>
      </c>
      <c r="BR519" t="s">
        <v>93</v>
      </c>
      <c r="BS519" t="s">
        <v>10373</v>
      </c>
      <c r="BT519" t="str">
        <f>HYPERLINK("https%3A%2F%2Fwww.webofscience.com%2Fwos%2Fwoscc%2Ffull-record%2FWOS:000577466000001","View Full Record in Web of Science")</f>
        <v>View Full Record in Web of Science</v>
      </c>
    </row>
    <row r="520" spans="1:72" x14ac:dyDescent="0.15">
      <c r="A520" t="s">
        <v>72</v>
      </c>
      <c r="B520" t="s">
        <v>10564</v>
      </c>
      <c r="C520" t="s">
        <v>74</v>
      </c>
      <c r="D520" t="s">
        <v>74</v>
      </c>
      <c r="E520" t="s">
        <v>74</v>
      </c>
      <c r="F520" t="s">
        <v>10565</v>
      </c>
      <c r="G520" t="s">
        <v>74</v>
      </c>
      <c r="H520" t="s">
        <v>74</v>
      </c>
      <c r="I520" t="s">
        <v>10566</v>
      </c>
      <c r="J520" t="s">
        <v>6985</v>
      </c>
      <c r="K520" t="s">
        <v>74</v>
      </c>
      <c r="L520" t="s">
        <v>74</v>
      </c>
      <c r="M520" t="s">
        <v>74</v>
      </c>
      <c r="N520" t="s">
        <v>78</v>
      </c>
      <c r="O520" t="s">
        <v>74</v>
      </c>
      <c r="P520" t="s">
        <v>74</v>
      </c>
      <c r="Q520" t="s">
        <v>74</v>
      </c>
      <c r="R520" t="s">
        <v>74</v>
      </c>
      <c r="S520" t="s">
        <v>74</v>
      </c>
      <c r="T520" t="s">
        <v>10567</v>
      </c>
      <c r="U520" t="s">
        <v>10568</v>
      </c>
      <c r="V520" t="s">
        <v>10569</v>
      </c>
      <c r="W520" t="s">
        <v>10570</v>
      </c>
      <c r="X520" t="s">
        <v>10571</v>
      </c>
      <c r="Y520" t="s">
        <v>10572</v>
      </c>
      <c r="Z520" t="s">
        <v>10573</v>
      </c>
      <c r="AA520" t="s">
        <v>10574</v>
      </c>
      <c r="AB520" t="s">
        <v>10575</v>
      </c>
      <c r="AC520" t="s">
        <v>74</v>
      </c>
      <c r="AD520" t="s">
        <v>74</v>
      </c>
      <c r="AE520" t="s">
        <v>74</v>
      </c>
      <c r="AF520" t="s">
        <v>74</v>
      </c>
      <c r="AG520">
        <v>226</v>
      </c>
      <c r="AH520">
        <v>5</v>
      </c>
      <c r="AI520">
        <v>5</v>
      </c>
      <c r="AJ520">
        <v>3</v>
      </c>
      <c r="AK520">
        <v>8</v>
      </c>
      <c r="AL520" t="s">
        <v>74</v>
      </c>
      <c r="AM520" t="s">
        <v>74</v>
      </c>
      <c r="AN520" t="s">
        <v>74</v>
      </c>
      <c r="AO520" t="s">
        <v>6993</v>
      </c>
      <c r="AP520" t="s">
        <v>6994</v>
      </c>
      <c r="AQ520" t="s">
        <v>74</v>
      </c>
      <c r="AR520" t="s">
        <v>74</v>
      </c>
      <c r="AS520" t="s">
        <v>74</v>
      </c>
      <c r="AT520" t="s">
        <v>108</v>
      </c>
      <c r="AU520">
        <v>2022</v>
      </c>
      <c r="AV520">
        <v>59</v>
      </c>
      <c r="AW520">
        <v>1</v>
      </c>
      <c r="AX520" t="s">
        <v>74</v>
      </c>
      <c r="AY520" t="s">
        <v>74</v>
      </c>
      <c r="AZ520" t="s">
        <v>74</v>
      </c>
      <c r="BA520" t="s">
        <v>74</v>
      </c>
      <c r="BB520">
        <v>620</v>
      </c>
      <c r="BC520">
        <v>642</v>
      </c>
      <c r="BD520" t="s">
        <v>74</v>
      </c>
      <c r="BE520" t="s">
        <v>10576</v>
      </c>
      <c r="BF520" t="str">
        <f>HYPERLINK("http://dx.doi.org/10.1007/s12035-021-02596-3","http://dx.doi.org/10.1007/s12035-021-02596-3")</f>
        <v>http://dx.doi.org/10.1007/s12035-021-02596-3</v>
      </c>
      <c r="BG520" t="s">
        <v>74</v>
      </c>
      <c r="BH520" t="s">
        <v>820</v>
      </c>
      <c r="BI520" t="s">
        <v>74</v>
      </c>
      <c r="BJ520" t="s">
        <v>2753</v>
      </c>
      <c r="BK520" t="s">
        <v>112</v>
      </c>
      <c r="BL520" t="s">
        <v>2407</v>
      </c>
      <c r="BM520" t="s">
        <v>74</v>
      </c>
      <c r="BN520">
        <v>34750787</v>
      </c>
      <c r="BO520" t="s">
        <v>74</v>
      </c>
      <c r="BP520" t="s">
        <v>74</v>
      </c>
      <c r="BQ520" t="s">
        <v>74</v>
      </c>
      <c r="BR520" t="s">
        <v>93</v>
      </c>
      <c r="BS520" t="s">
        <v>10577</v>
      </c>
      <c r="BT520" t="str">
        <f>HYPERLINK("https%3A%2F%2Fwww.webofscience.com%2Fwos%2Fwoscc%2Ffull-record%2FWOS:000715674700001","View Full Record in Web of Science")</f>
        <v>View Full Record in Web of Science</v>
      </c>
    </row>
    <row r="521" spans="1:72" x14ac:dyDescent="0.15">
      <c r="A521" t="s">
        <v>72</v>
      </c>
      <c r="B521" t="s">
        <v>10749</v>
      </c>
      <c r="C521" t="s">
        <v>74</v>
      </c>
      <c r="D521" t="s">
        <v>74</v>
      </c>
      <c r="E521" t="s">
        <v>74</v>
      </c>
      <c r="F521" t="s">
        <v>10750</v>
      </c>
      <c r="G521" t="s">
        <v>74</v>
      </c>
      <c r="H521" t="s">
        <v>74</v>
      </c>
      <c r="I521" t="s">
        <v>10751</v>
      </c>
      <c r="J521" t="s">
        <v>5108</v>
      </c>
      <c r="K521" t="s">
        <v>74</v>
      </c>
      <c r="L521" t="s">
        <v>74</v>
      </c>
      <c r="M521" t="s">
        <v>74</v>
      </c>
      <c r="N521" t="s">
        <v>78</v>
      </c>
      <c r="O521" t="s">
        <v>74</v>
      </c>
      <c r="P521" t="s">
        <v>74</v>
      </c>
      <c r="Q521" t="s">
        <v>74</v>
      </c>
      <c r="R521" t="s">
        <v>74</v>
      </c>
      <c r="S521" t="s">
        <v>74</v>
      </c>
      <c r="T521" t="s">
        <v>10752</v>
      </c>
      <c r="U521" t="s">
        <v>10753</v>
      </c>
      <c r="V521" t="s">
        <v>10754</v>
      </c>
      <c r="W521" t="s">
        <v>10755</v>
      </c>
      <c r="X521" t="s">
        <v>10756</v>
      </c>
      <c r="Y521" t="s">
        <v>10757</v>
      </c>
      <c r="Z521" t="s">
        <v>10758</v>
      </c>
      <c r="AA521" t="s">
        <v>10759</v>
      </c>
      <c r="AB521" t="s">
        <v>10760</v>
      </c>
      <c r="AC521" t="s">
        <v>74</v>
      </c>
      <c r="AD521" t="s">
        <v>74</v>
      </c>
      <c r="AE521" t="s">
        <v>74</v>
      </c>
      <c r="AF521" t="s">
        <v>74</v>
      </c>
      <c r="AG521">
        <v>95</v>
      </c>
      <c r="AH521">
        <v>5</v>
      </c>
      <c r="AI521">
        <v>5</v>
      </c>
      <c r="AJ521">
        <v>11</v>
      </c>
      <c r="AK521">
        <v>28</v>
      </c>
      <c r="AL521" t="s">
        <v>74</v>
      </c>
      <c r="AM521" t="s">
        <v>74</v>
      </c>
      <c r="AN521" t="s">
        <v>74</v>
      </c>
      <c r="AO521" t="s">
        <v>5118</v>
      </c>
      <c r="AP521" t="s">
        <v>5119</v>
      </c>
      <c r="AQ521" t="s">
        <v>74</v>
      </c>
      <c r="AR521" t="s">
        <v>74</v>
      </c>
      <c r="AS521" t="s">
        <v>74</v>
      </c>
      <c r="AT521" t="s">
        <v>728</v>
      </c>
      <c r="AU521">
        <v>2022</v>
      </c>
      <c r="AV521">
        <v>524</v>
      </c>
      <c r="AW521" t="s">
        <v>74</v>
      </c>
      <c r="AX521" t="s">
        <v>74</v>
      </c>
      <c r="AY521" t="s">
        <v>74</v>
      </c>
      <c r="AZ521" t="s">
        <v>74</v>
      </c>
      <c r="BA521" t="s">
        <v>74</v>
      </c>
      <c r="BB521">
        <v>91</v>
      </c>
      <c r="BC521">
        <v>102</v>
      </c>
      <c r="BD521" t="s">
        <v>74</v>
      </c>
      <c r="BE521" t="s">
        <v>10761</v>
      </c>
      <c r="BF521" t="str">
        <f>HYPERLINK("http://dx.doi.org/10.1016/j.canlet.2021.10.013","http://dx.doi.org/10.1016/j.canlet.2021.10.013")</f>
        <v>http://dx.doi.org/10.1016/j.canlet.2021.10.013</v>
      </c>
      <c r="BG521" t="s">
        <v>74</v>
      </c>
      <c r="BH521" t="s">
        <v>5543</v>
      </c>
      <c r="BI521" t="s">
        <v>74</v>
      </c>
      <c r="BJ521" t="s">
        <v>146</v>
      </c>
      <c r="BK521" t="s">
        <v>112</v>
      </c>
      <c r="BL521" t="s">
        <v>146</v>
      </c>
      <c r="BM521" t="s">
        <v>74</v>
      </c>
      <c r="BN521">
        <v>34656690</v>
      </c>
      <c r="BO521" t="s">
        <v>74</v>
      </c>
      <c r="BP521" t="s">
        <v>74</v>
      </c>
      <c r="BQ521" t="s">
        <v>74</v>
      </c>
      <c r="BR521" t="s">
        <v>93</v>
      </c>
      <c r="BS521" t="s">
        <v>10762</v>
      </c>
      <c r="BT521" t="str">
        <f>HYPERLINK("https%3A%2F%2Fwww.webofscience.com%2Fwos%2Fwoscc%2Ffull-record%2FWOS:000712464800002","View Full Record in Web of Science")</f>
        <v>View Full Record in Web of Science</v>
      </c>
    </row>
    <row r="522" spans="1:72" x14ac:dyDescent="0.15">
      <c r="A522" t="s">
        <v>72</v>
      </c>
      <c r="B522" t="s">
        <v>11060</v>
      </c>
      <c r="C522" t="s">
        <v>74</v>
      </c>
      <c r="D522" t="s">
        <v>74</v>
      </c>
      <c r="E522" t="s">
        <v>74</v>
      </c>
      <c r="F522" t="s">
        <v>11061</v>
      </c>
      <c r="G522" t="s">
        <v>74</v>
      </c>
      <c r="H522" t="s">
        <v>74</v>
      </c>
      <c r="I522" t="s">
        <v>11062</v>
      </c>
      <c r="J522" t="s">
        <v>10032</v>
      </c>
      <c r="K522" t="s">
        <v>74</v>
      </c>
      <c r="L522" t="s">
        <v>74</v>
      </c>
      <c r="M522" t="s">
        <v>74</v>
      </c>
      <c r="N522" t="s">
        <v>78</v>
      </c>
      <c r="O522" t="s">
        <v>74</v>
      </c>
      <c r="P522" t="s">
        <v>74</v>
      </c>
      <c r="Q522" t="s">
        <v>74</v>
      </c>
      <c r="R522" t="s">
        <v>74</v>
      </c>
      <c r="S522" t="s">
        <v>74</v>
      </c>
      <c r="T522" t="s">
        <v>11063</v>
      </c>
      <c r="U522" t="s">
        <v>11064</v>
      </c>
      <c r="V522" t="s">
        <v>11065</v>
      </c>
      <c r="W522" t="s">
        <v>11066</v>
      </c>
      <c r="X522" t="s">
        <v>11067</v>
      </c>
      <c r="Y522" t="s">
        <v>11068</v>
      </c>
      <c r="Z522" t="s">
        <v>11069</v>
      </c>
      <c r="AA522" t="s">
        <v>74</v>
      </c>
      <c r="AB522" t="s">
        <v>74</v>
      </c>
      <c r="AC522" t="s">
        <v>74</v>
      </c>
      <c r="AD522" t="s">
        <v>74</v>
      </c>
      <c r="AE522" t="s">
        <v>74</v>
      </c>
      <c r="AF522" t="s">
        <v>74</v>
      </c>
      <c r="AG522">
        <v>84</v>
      </c>
      <c r="AH522">
        <v>5</v>
      </c>
      <c r="AI522">
        <v>5</v>
      </c>
      <c r="AJ522">
        <v>1</v>
      </c>
      <c r="AK522">
        <v>15</v>
      </c>
      <c r="AL522" t="s">
        <v>74</v>
      </c>
      <c r="AM522" t="s">
        <v>74</v>
      </c>
      <c r="AN522" t="s">
        <v>74</v>
      </c>
      <c r="AO522" t="s">
        <v>10042</v>
      </c>
      <c r="AP522" t="s">
        <v>11070</v>
      </c>
      <c r="AQ522" t="s">
        <v>74</v>
      </c>
      <c r="AR522" t="s">
        <v>74</v>
      </c>
      <c r="AS522" t="s">
        <v>74</v>
      </c>
      <c r="AT522" t="s">
        <v>659</v>
      </c>
      <c r="AU522">
        <v>2019</v>
      </c>
      <c r="AV522">
        <v>126</v>
      </c>
      <c r="AW522" t="s">
        <v>74</v>
      </c>
      <c r="AX522" t="s">
        <v>74</v>
      </c>
      <c r="AY522" t="s">
        <v>74</v>
      </c>
      <c r="AZ522" t="s">
        <v>74</v>
      </c>
      <c r="BA522" t="s">
        <v>74</v>
      </c>
      <c r="BB522">
        <v>18</v>
      </c>
      <c r="BC522">
        <v>26</v>
      </c>
      <c r="BD522" t="s">
        <v>74</v>
      </c>
      <c r="BE522" t="s">
        <v>11071</v>
      </c>
      <c r="BF522" t="str">
        <f>HYPERLINK("http://dx.doi.org/10.1016/j.bone.2019.03.032","http://dx.doi.org/10.1016/j.bone.2019.03.032")</f>
        <v>http://dx.doi.org/10.1016/j.bone.2019.03.032</v>
      </c>
      <c r="BG522" t="s">
        <v>74</v>
      </c>
      <c r="BH522" t="s">
        <v>74</v>
      </c>
      <c r="BI522" t="s">
        <v>74</v>
      </c>
      <c r="BJ522" t="s">
        <v>1810</v>
      </c>
      <c r="BK522" t="s">
        <v>112</v>
      </c>
      <c r="BL522" t="s">
        <v>1810</v>
      </c>
      <c r="BM522" t="s">
        <v>74</v>
      </c>
      <c r="BN522">
        <v>30954730</v>
      </c>
      <c r="BO522" t="s">
        <v>74</v>
      </c>
      <c r="BP522" t="s">
        <v>74</v>
      </c>
      <c r="BQ522" t="s">
        <v>74</v>
      </c>
      <c r="BR522" t="s">
        <v>93</v>
      </c>
      <c r="BS522" t="s">
        <v>11072</v>
      </c>
      <c r="BT522" t="str">
        <f>HYPERLINK("https%3A%2F%2Fwww.webofscience.com%2Fwos%2Fwoscc%2Ffull-record%2FWOS:000477790000004","View Full Record in Web of Science")</f>
        <v>View Full Record in Web of Science</v>
      </c>
    </row>
    <row r="523" spans="1:72" x14ac:dyDescent="0.15">
      <c r="A523" t="s">
        <v>72</v>
      </c>
      <c r="B523" t="s">
        <v>95</v>
      </c>
      <c r="C523" t="s">
        <v>74</v>
      </c>
      <c r="D523" t="s">
        <v>74</v>
      </c>
      <c r="E523" t="s">
        <v>74</v>
      </c>
      <c r="F523" t="s">
        <v>96</v>
      </c>
      <c r="G523" t="s">
        <v>74</v>
      </c>
      <c r="H523" t="s">
        <v>74</v>
      </c>
      <c r="I523" t="s">
        <v>97</v>
      </c>
      <c r="J523" t="s">
        <v>98</v>
      </c>
      <c r="K523" t="s">
        <v>74</v>
      </c>
      <c r="L523" t="s">
        <v>74</v>
      </c>
      <c r="M523" t="s">
        <v>74</v>
      </c>
      <c r="N523" t="s">
        <v>78</v>
      </c>
      <c r="O523" t="s">
        <v>74</v>
      </c>
      <c r="P523" t="s">
        <v>74</v>
      </c>
      <c r="Q523" t="s">
        <v>74</v>
      </c>
      <c r="R523" t="s">
        <v>74</v>
      </c>
      <c r="S523" t="s">
        <v>74</v>
      </c>
      <c r="T523" t="s">
        <v>99</v>
      </c>
      <c r="U523" t="s">
        <v>100</v>
      </c>
      <c r="V523" t="s">
        <v>101</v>
      </c>
      <c r="W523" t="s">
        <v>102</v>
      </c>
      <c r="X523" t="s">
        <v>103</v>
      </c>
      <c r="Y523" t="s">
        <v>104</v>
      </c>
      <c r="Z523" t="s">
        <v>105</v>
      </c>
      <c r="AA523" t="s">
        <v>74</v>
      </c>
      <c r="AB523" t="s">
        <v>74</v>
      </c>
      <c r="AC523" t="s">
        <v>74</v>
      </c>
      <c r="AD523" t="s">
        <v>74</v>
      </c>
      <c r="AE523" t="s">
        <v>74</v>
      </c>
      <c r="AF523" t="s">
        <v>74</v>
      </c>
      <c r="AG523">
        <v>32</v>
      </c>
      <c r="AH523">
        <v>4</v>
      </c>
      <c r="AI523">
        <v>4</v>
      </c>
      <c r="AJ523">
        <v>0</v>
      </c>
      <c r="AK523">
        <v>1</v>
      </c>
      <c r="AL523" t="s">
        <v>74</v>
      </c>
      <c r="AM523" t="s">
        <v>74</v>
      </c>
      <c r="AN523" t="s">
        <v>74</v>
      </c>
      <c r="AO523" t="s">
        <v>106</v>
      </c>
      <c r="AP523" t="s">
        <v>107</v>
      </c>
      <c r="AQ523" t="s">
        <v>74</v>
      </c>
      <c r="AR523" t="s">
        <v>74</v>
      </c>
      <c r="AS523" t="s">
        <v>74</v>
      </c>
      <c r="AT523" t="s">
        <v>108</v>
      </c>
      <c r="AU523">
        <v>2021</v>
      </c>
      <c r="AV523">
        <v>10</v>
      </c>
      <c r="AW523">
        <v>1</v>
      </c>
      <c r="AX523" t="s">
        <v>74</v>
      </c>
      <c r="AY523" t="s">
        <v>74</v>
      </c>
      <c r="AZ523" t="s">
        <v>74</v>
      </c>
      <c r="BA523" t="s">
        <v>74</v>
      </c>
      <c r="BB523">
        <v>104</v>
      </c>
      <c r="BC523" t="s">
        <v>109</v>
      </c>
      <c r="BD523" t="s">
        <v>74</v>
      </c>
      <c r="BE523" t="s">
        <v>110</v>
      </c>
      <c r="BF523" t="str">
        <f>HYPERLINK("http://dx.doi.org/10.21037/tlcr-20-888","http://dx.doi.org/10.21037/tlcr-20-888")</f>
        <v>http://dx.doi.org/10.21037/tlcr-20-888</v>
      </c>
      <c r="BG523" t="s">
        <v>74</v>
      </c>
      <c r="BH523" t="s">
        <v>74</v>
      </c>
      <c r="BI523" t="s">
        <v>74</v>
      </c>
      <c r="BJ523" t="s">
        <v>111</v>
      </c>
      <c r="BK523" t="s">
        <v>112</v>
      </c>
      <c r="BL523" t="s">
        <v>111</v>
      </c>
      <c r="BM523" t="s">
        <v>74</v>
      </c>
      <c r="BN523">
        <v>33569297</v>
      </c>
      <c r="BO523" t="s">
        <v>74</v>
      </c>
      <c r="BP523" t="s">
        <v>74</v>
      </c>
      <c r="BQ523" t="s">
        <v>74</v>
      </c>
      <c r="BR523" t="s">
        <v>93</v>
      </c>
      <c r="BS523" t="s">
        <v>113</v>
      </c>
      <c r="BT523" t="str">
        <f>HYPERLINK("https%3A%2F%2Fwww.webofscience.com%2Fwos%2Fwoscc%2Ffull-record%2FWOS:000723882000012","View Full Record in Web of Science")</f>
        <v>View Full Record in Web of Science</v>
      </c>
    </row>
    <row r="524" spans="1:72" x14ac:dyDescent="0.15">
      <c r="A524" t="s">
        <v>72</v>
      </c>
      <c r="B524" t="s">
        <v>294</v>
      </c>
      <c r="C524" t="s">
        <v>74</v>
      </c>
      <c r="D524" t="s">
        <v>74</v>
      </c>
      <c r="E524" t="s">
        <v>74</v>
      </c>
      <c r="F524" t="s">
        <v>295</v>
      </c>
      <c r="G524" t="s">
        <v>74</v>
      </c>
      <c r="H524" t="s">
        <v>74</v>
      </c>
      <c r="I524" t="s">
        <v>296</v>
      </c>
      <c r="J524" t="s">
        <v>297</v>
      </c>
      <c r="K524" t="s">
        <v>74</v>
      </c>
      <c r="L524" t="s">
        <v>74</v>
      </c>
      <c r="M524" t="s">
        <v>74</v>
      </c>
      <c r="N524" t="s">
        <v>78</v>
      </c>
      <c r="O524" t="s">
        <v>74</v>
      </c>
      <c r="P524" t="s">
        <v>74</v>
      </c>
      <c r="Q524" t="s">
        <v>74</v>
      </c>
      <c r="R524" t="s">
        <v>74</v>
      </c>
      <c r="S524" t="s">
        <v>74</v>
      </c>
      <c r="T524" t="s">
        <v>298</v>
      </c>
      <c r="U524" t="s">
        <v>299</v>
      </c>
      <c r="V524" t="s">
        <v>300</v>
      </c>
      <c r="W524" t="s">
        <v>301</v>
      </c>
      <c r="X524" t="s">
        <v>302</v>
      </c>
      <c r="Y524" t="s">
        <v>303</v>
      </c>
      <c r="Z524" t="s">
        <v>304</v>
      </c>
      <c r="AA524" t="s">
        <v>305</v>
      </c>
      <c r="AB524" t="s">
        <v>306</v>
      </c>
      <c r="AC524" t="s">
        <v>74</v>
      </c>
      <c r="AD524" t="s">
        <v>74</v>
      </c>
      <c r="AE524" t="s">
        <v>74</v>
      </c>
      <c r="AF524" t="s">
        <v>74</v>
      </c>
      <c r="AG524">
        <v>60</v>
      </c>
      <c r="AH524">
        <v>4</v>
      </c>
      <c r="AI524">
        <v>5</v>
      </c>
      <c r="AJ524">
        <v>1</v>
      </c>
      <c r="AK524">
        <v>4</v>
      </c>
      <c r="AL524" t="s">
        <v>74</v>
      </c>
      <c r="AM524" t="s">
        <v>74</v>
      </c>
      <c r="AN524" t="s">
        <v>74</v>
      </c>
      <c r="AO524" t="s">
        <v>307</v>
      </c>
      <c r="AP524" t="s">
        <v>74</v>
      </c>
      <c r="AQ524" t="s">
        <v>74</v>
      </c>
      <c r="AR524" t="s">
        <v>74</v>
      </c>
      <c r="AS524" t="s">
        <v>74</v>
      </c>
      <c r="AT524" t="s">
        <v>308</v>
      </c>
      <c r="AU524">
        <v>2021</v>
      </c>
      <c r="AV524">
        <v>22</v>
      </c>
      <c r="AW524">
        <v>1</v>
      </c>
      <c r="AX524" t="s">
        <v>74</v>
      </c>
      <c r="AY524" t="s">
        <v>74</v>
      </c>
      <c r="AZ524" t="s">
        <v>74</v>
      </c>
      <c r="BA524" t="s">
        <v>74</v>
      </c>
      <c r="BB524" t="s">
        <v>74</v>
      </c>
      <c r="BC524" t="s">
        <v>74</v>
      </c>
      <c r="BD524">
        <v>425</v>
      </c>
      <c r="BE524" t="s">
        <v>309</v>
      </c>
      <c r="BF524" t="str">
        <f>HYPERLINK("http://dx.doi.org/10.1186/s12864-021-07733-9","http://dx.doi.org/10.1186/s12864-021-07733-9")</f>
        <v>http://dx.doi.org/10.1186/s12864-021-07733-9</v>
      </c>
      <c r="BG524" t="s">
        <v>74</v>
      </c>
      <c r="BH524" t="s">
        <v>74</v>
      </c>
      <c r="BI524" t="s">
        <v>74</v>
      </c>
      <c r="BJ524" t="s">
        <v>310</v>
      </c>
      <c r="BK524" t="s">
        <v>112</v>
      </c>
      <c r="BL524" t="s">
        <v>310</v>
      </c>
      <c r="BM524" t="s">
        <v>74</v>
      </c>
      <c r="BN524">
        <v>34103018</v>
      </c>
      <c r="BO524" t="s">
        <v>74</v>
      </c>
      <c r="BP524" t="s">
        <v>74</v>
      </c>
      <c r="BQ524" t="s">
        <v>74</v>
      </c>
      <c r="BR524" t="s">
        <v>93</v>
      </c>
      <c r="BS524" t="s">
        <v>311</v>
      </c>
      <c r="BT524" t="str">
        <f>HYPERLINK("https%3A%2F%2Fwww.webofscience.com%2Fwos%2Fwoscc%2Ffull-record%2FWOS:000659215600001","View Full Record in Web of Science")</f>
        <v>View Full Record in Web of Science</v>
      </c>
    </row>
    <row r="525" spans="1:72" x14ac:dyDescent="0.15">
      <c r="A525" t="s">
        <v>72</v>
      </c>
      <c r="B525" t="s">
        <v>336</v>
      </c>
      <c r="C525" t="s">
        <v>74</v>
      </c>
      <c r="D525" t="s">
        <v>74</v>
      </c>
      <c r="E525" t="s">
        <v>74</v>
      </c>
      <c r="F525" t="s">
        <v>337</v>
      </c>
      <c r="G525" t="s">
        <v>74</v>
      </c>
      <c r="H525" t="s">
        <v>74</v>
      </c>
      <c r="I525" t="s">
        <v>338</v>
      </c>
      <c r="J525" t="s">
        <v>339</v>
      </c>
      <c r="K525" t="s">
        <v>74</v>
      </c>
      <c r="L525" t="s">
        <v>74</v>
      </c>
      <c r="M525" t="s">
        <v>74</v>
      </c>
      <c r="N525" t="s">
        <v>78</v>
      </c>
      <c r="O525" t="s">
        <v>74</v>
      </c>
      <c r="P525" t="s">
        <v>74</v>
      </c>
      <c r="Q525" t="s">
        <v>74</v>
      </c>
      <c r="R525" t="s">
        <v>74</v>
      </c>
      <c r="S525" t="s">
        <v>74</v>
      </c>
      <c r="T525" t="s">
        <v>340</v>
      </c>
      <c r="U525" t="s">
        <v>74</v>
      </c>
      <c r="V525" t="s">
        <v>341</v>
      </c>
      <c r="W525" t="s">
        <v>342</v>
      </c>
      <c r="X525" t="s">
        <v>229</v>
      </c>
      <c r="Y525" t="s">
        <v>343</v>
      </c>
      <c r="Z525" t="s">
        <v>344</v>
      </c>
      <c r="AA525" t="s">
        <v>345</v>
      </c>
      <c r="AB525" t="s">
        <v>346</v>
      </c>
      <c r="AC525" t="s">
        <v>74</v>
      </c>
      <c r="AD525" t="s">
        <v>74</v>
      </c>
      <c r="AE525" t="s">
        <v>74</v>
      </c>
      <c r="AF525" t="s">
        <v>74</v>
      </c>
      <c r="AG525">
        <v>63</v>
      </c>
      <c r="AH525">
        <v>4</v>
      </c>
      <c r="AI525">
        <v>4</v>
      </c>
      <c r="AJ525">
        <v>1</v>
      </c>
      <c r="AK525">
        <v>4</v>
      </c>
      <c r="AL525" t="s">
        <v>74</v>
      </c>
      <c r="AM525" t="s">
        <v>74</v>
      </c>
      <c r="AN525" t="s">
        <v>74</v>
      </c>
      <c r="AO525" t="s">
        <v>74</v>
      </c>
      <c r="AP525" t="s">
        <v>347</v>
      </c>
      <c r="AQ525" t="s">
        <v>74</v>
      </c>
      <c r="AR525" t="s">
        <v>74</v>
      </c>
      <c r="AS525" t="s">
        <v>74</v>
      </c>
      <c r="AT525" t="s">
        <v>129</v>
      </c>
      <c r="AU525">
        <v>2021</v>
      </c>
      <c r="AV525">
        <v>12</v>
      </c>
      <c r="AW525">
        <v>4</v>
      </c>
      <c r="AX525" t="s">
        <v>74</v>
      </c>
      <c r="AY525" t="s">
        <v>74</v>
      </c>
      <c r="AZ525" t="s">
        <v>74</v>
      </c>
      <c r="BA525" t="s">
        <v>74</v>
      </c>
      <c r="BB525" t="s">
        <v>74</v>
      </c>
      <c r="BC525" t="s">
        <v>74</v>
      </c>
      <c r="BD525">
        <v>522</v>
      </c>
      <c r="BE525" t="s">
        <v>348</v>
      </c>
      <c r="BF525" t="str">
        <f>HYPERLINK("http://dx.doi.org/10.3390/genes12040522","http://dx.doi.org/10.3390/genes12040522")</f>
        <v>http://dx.doi.org/10.3390/genes12040522</v>
      </c>
      <c r="BG525" t="s">
        <v>74</v>
      </c>
      <c r="BH525" t="s">
        <v>74</v>
      </c>
      <c r="BI525" t="s">
        <v>74</v>
      </c>
      <c r="BJ525" t="s">
        <v>349</v>
      </c>
      <c r="BK525" t="s">
        <v>112</v>
      </c>
      <c r="BL525" t="s">
        <v>349</v>
      </c>
      <c r="BM525" t="s">
        <v>74</v>
      </c>
      <c r="BN525">
        <v>33918465</v>
      </c>
      <c r="BO525" t="s">
        <v>74</v>
      </c>
      <c r="BP525" t="s">
        <v>74</v>
      </c>
      <c r="BQ525" t="s">
        <v>74</v>
      </c>
      <c r="BR525" t="s">
        <v>93</v>
      </c>
      <c r="BS525" t="s">
        <v>350</v>
      </c>
      <c r="BT525" t="str">
        <f>HYPERLINK("https%3A%2F%2Fwww.webofscience.com%2Fwos%2Fwoscc%2Ffull-record%2FWOS:000643026900001","View Full Record in Web of Science")</f>
        <v>View Full Record in Web of Science</v>
      </c>
    </row>
    <row r="526" spans="1:72" x14ac:dyDescent="0.15">
      <c r="A526" t="s">
        <v>72</v>
      </c>
      <c r="B526" t="s">
        <v>958</v>
      </c>
      <c r="C526" t="s">
        <v>74</v>
      </c>
      <c r="D526" t="s">
        <v>74</v>
      </c>
      <c r="E526" t="s">
        <v>74</v>
      </c>
      <c r="F526" t="s">
        <v>959</v>
      </c>
      <c r="G526" t="s">
        <v>74</v>
      </c>
      <c r="H526" t="s">
        <v>74</v>
      </c>
      <c r="I526" t="s">
        <v>960</v>
      </c>
      <c r="J526" t="s">
        <v>667</v>
      </c>
      <c r="K526" t="s">
        <v>74</v>
      </c>
      <c r="L526" t="s">
        <v>74</v>
      </c>
      <c r="M526" t="s">
        <v>74</v>
      </c>
      <c r="N526" t="s">
        <v>78</v>
      </c>
      <c r="O526" t="s">
        <v>74</v>
      </c>
      <c r="P526" t="s">
        <v>74</v>
      </c>
      <c r="Q526" t="s">
        <v>74</v>
      </c>
      <c r="R526" t="s">
        <v>74</v>
      </c>
      <c r="S526" t="s">
        <v>74</v>
      </c>
      <c r="T526" t="s">
        <v>961</v>
      </c>
      <c r="U526" t="s">
        <v>962</v>
      </c>
      <c r="V526" t="s">
        <v>963</v>
      </c>
      <c r="W526" t="s">
        <v>964</v>
      </c>
      <c r="X526" t="s">
        <v>965</v>
      </c>
      <c r="Y526" t="s">
        <v>966</v>
      </c>
      <c r="Z526" t="s">
        <v>967</v>
      </c>
      <c r="AA526" t="s">
        <v>968</v>
      </c>
      <c r="AB526" t="s">
        <v>969</v>
      </c>
      <c r="AC526" t="s">
        <v>74</v>
      </c>
      <c r="AD526" t="s">
        <v>74</v>
      </c>
      <c r="AE526" t="s">
        <v>74</v>
      </c>
      <c r="AF526" t="s">
        <v>74</v>
      </c>
      <c r="AG526">
        <v>57</v>
      </c>
      <c r="AH526">
        <v>4</v>
      </c>
      <c r="AI526">
        <v>6</v>
      </c>
      <c r="AJ526">
        <v>2</v>
      </c>
      <c r="AK526">
        <v>5</v>
      </c>
      <c r="AL526" t="s">
        <v>74</v>
      </c>
      <c r="AM526" t="s">
        <v>74</v>
      </c>
      <c r="AN526" t="s">
        <v>74</v>
      </c>
      <c r="AO526" t="s">
        <v>74</v>
      </c>
      <c r="AP526" t="s">
        <v>677</v>
      </c>
      <c r="AQ526" t="s">
        <v>74</v>
      </c>
      <c r="AR526" t="s">
        <v>74</v>
      </c>
      <c r="AS526" t="s">
        <v>74</v>
      </c>
      <c r="AT526" t="s">
        <v>171</v>
      </c>
      <c r="AU526">
        <v>2020</v>
      </c>
      <c r="AV526">
        <v>21</v>
      </c>
      <c r="AW526">
        <v>23</v>
      </c>
      <c r="AX526" t="s">
        <v>74</v>
      </c>
      <c r="AY526" t="s">
        <v>74</v>
      </c>
      <c r="AZ526" t="s">
        <v>74</v>
      </c>
      <c r="BA526" t="s">
        <v>74</v>
      </c>
      <c r="BB526" t="s">
        <v>74</v>
      </c>
      <c r="BC526" t="s">
        <v>74</v>
      </c>
      <c r="BD526">
        <v>9083</v>
      </c>
      <c r="BE526" t="s">
        <v>970</v>
      </c>
      <c r="BF526" t="str">
        <f>HYPERLINK("http://dx.doi.org/10.3390/ijms21239083","http://dx.doi.org/10.3390/ijms21239083")</f>
        <v>http://dx.doi.org/10.3390/ijms21239083</v>
      </c>
      <c r="BG526" t="s">
        <v>74</v>
      </c>
      <c r="BH526" t="s">
        <v>74</v>
      </c>
      <c r="BI526" t="s">
        <v>74</v>
      </c>
      <c r="BJ526" t="s">
        <v>680</v>
      </c>
      <c r="BK526" t="s">
        <v>112</v>
      </c>
      <c r="BL526" t="s">
        <v>681</v>
      </c>
      <c r="BM526" t="s">
        <v>74</v>
      </c>
      <c r="BN526">
        <v>33260345</v>
      </c>
      <c r="BO526" t="s">
        <v>74</v>
      </c>
      <c r="BP526" t="s">
        <v>74</v>
      </c>
      <c r="BQ526" t="s">
        <v>74</v>
      </c>
      <c r="BR526" t="s">
        <v>93</v>
      </c>
      <c r="BS526" t="s">
        <v>971</v>
      </c>
      <c r="BT526" t="str">
        <f>HYPERLINK("https%3A%2F%2Fwww.webofscience.com%2Fwos%2Fwoscc%2Ffull-record%2FWOS:000597589700001","View Full Record in Web of Science")</f>
        <v>View Full Record in Web of Science</v>
      </c>
    </row>
    <row r="527" spans="1:72" x14ac:dyDescent="0.15">
      <c r="A527" t="s">
        <v>72</v>
      </c>
      <c r="B527" t="s">
        <v>989</v>
      </c>
      <c r="C527" t="s">
        <v>74</v>
      </c>
      <c r="D527" t="s">
        <v>74</v>
      </c>
      <c r="E527" t="s">
        <v>74</v>
      </c>
      <c r="F527" t="s">
        <v>990</v>
      </c>
      <c r="G527" t="s">
        <v>74</v>
      </c>
      <c r="H527" t="s">
        <v>74</v>
      </c>
      <c r="I527" t="s">
        <v>991</v>
      </c>
      <c r="J527" t="s">
        <v>992</v>
      </c>
      <c r="K527" t="s">
        <v>74</v>
      </c>
      <c r="L527" t="s">
        <v>74</v>
      </c>
      <c r="M527" t="s">
        <v>74</v>
      </c>
      <c r="N527" t="s">
        <v>78</v>
      </c>
      <c r="O527" t="s">
        <v>74</v>
      </c>
      <c r="P527" t="s">
        <v>74</v>
      </c>
      <c r="Q527" t="s">
        <v>74</v>
      </c>
      <c r="R527" t="s">
        <v>74</v>
      </c>
      <c r="S527" t="s">
        <v>74</v>
      </c>
      <c r="T527" t="s">
        <v>993</v>
      </c>
      <c r="U527" t="s">
        <v>994</v>
      </c>
      <c r="V527" t="s">
        <v>995</v>
      </c>
      <c r="W527" t="s">
        <v>996</v>
      </c>
      <c r="X527" t="s">
        <v>997</v>
      </c>
      <c r="Y527" t="s">
        <v>998</v>
      </c>
      <c r="Z527" t="s">
        <v>999</v>
      </c>
      <c r="AA527" t="s">
        <v>74</v>
      </c>
      <c r="AB527" t="s">
        <v>1000</v>
      </c>
      <c r="AC527" t="s">
        <v>74</v>
      </c>
      <c r="AD527" t="s">
        <v>74</v>
      </c>
      <c r="AE527" t="s">
        <v>74</v>
      </c>
      <c r="AF527" t="s">
        <v>74</v>
      </c>
      <c r="AG527">
        <v>38</v>
      </c>
      <c r="AH527">
        <v>4</v>
      </c>
      <c r="AI527">
        <v>4</v>
      </c>
      <c r="AJ527">
        <v>16</v>
      </c>
      <c r="AK527">
        <v>38</v>
      </c>
      <c r="AL527" t="s">
        <v>74</v>
      </c>
      <c r="AM527" t="s">
        <v>74</v>
      </c>
      <c r="AN527" t="s">
        <v>74</v>
      </c>
      <c r="AO527" t="s">
        <v>1001</v>
      </c>
      <c r="AP527" t="s">
        <v>1002</v>
      </c>
      <c r="AQ527" t="s">
        <v>74</v>
      </c>
      <c r="AR527" t="s">
        <v>74</v>
      </c>
      <c r="AS527" t="s">
        <v>74</v>
      </c>
      <c r="AT527" t="s">
        <v>1003</v>
      </c>
      <c r="AU527">
        <v>2021</v>
      </c>
      <c r="AV527">
        <v>192</v>
      </c>
      <c r="AW527" t="s">
        <v>74</v>
      </c>
      <c r="AX527" t="s">
        <v>74</v>
      </c>
      <c r="AY527" t="s">
        <v>74</v>
      </c>
      <c r="AZ527" t="s">
        <v>74</v>
      </c>
      <c r="BA527" t="s">
        <v>74</v>
      </c>
      <c r="BB527" t="s">
        <v>74</v>
      </c>
      <c r="BC527" t="s">
        <v>74</v>
      </c>
      <c r="BD527">
        <v>113502</v>
      </c>
      <c r="BE527" t="s">
        <v>1004</v>
      </c>
      <c r="BF527" t="str">
        <f>HYPERLINK("http://dx.doi.org/10.1016/j.bios.2021.113502","http://dx.doi.org/10.1016/j.bios.2021.113502")</f>
        <v>http://dx.doi.org/10.1016/j.bios.2021.113502</v>
      </c>
      <c r="BG527" t="s">
        <v>74</v>
      </c>
      <c r="BH527" t="s">
        <v>1005</v>
      </c>
      <c r="BI527" t="s">
        <v>74</v>
      </c>
      <c r="BJ527" t="s">
        <v>1006</v>
      </c>
      <c r="BK527" t="s">
        <v>112</v>
      </c>
      <c r="BL527" t="s">
        <v>1007</v>
      </c>
      <c r="BM527" t="s">
        <v>74</v>
      </c>
      <c r="BN527">
        <v>34298496</v>
      </c>
      <c r="BO527" t="s">
        <v>74</v>
      </c>
      <c r="BP527" t="s">
        <v>74</v>
      </c>
      <c r="BQ527" t="s">
        <v>74</v>
      </c>
      <c r="BR527" t="s">
        <v>93</v>
      </c>
      <c r="BS527" t="s">
        <v>1008</v>
      </c>
      <c r="BT527" t="str">
        <f>HYPERLINK("https%3A%2F%2Fwww.webofscience.com%2Fwos%2Fwoscc%2Ffull-record%2FWOS:000704056300003","View Full Record in Web of Science")</f>
        <v>View Full Record in Web of Science</v>
      </c>
    </row>
    <row r="528" spans="1:72" x14ac:dyDescent="0.15">
      <c r="A528" t="s">
        <v>72</v>
      </c>
      <c r="B528" t="s">
        <v>1243</v>
      </c>
      <c r="C528" t="s">
        <v>74</v>
      </c>
      <c r="D528" t="s">
        <v>74</v>
      </c>
      <c r="E528" t="s">
        <v>74</v>
      </c>
      <c r="F528" t="s">
        <v>1244</v>
      </c>
      <c r="G528" t="s">
        <v>74</v>
      </c>
      <c r="H528" t="s">
        <v>74</v>
      </c>
      <c r="I528" t="s">
        <v>1245</v>
      </c>
      <c r="J528" t="s">
        <v>1246</v>
      </c>
      <c r="K528" t="s">
        <v>74</v>
      </c>
      <c r="L528" t="s">
        <v>74</v>
      </c>
      <c r="M528" t="s">
        <v>74</v>
      </c>
      <c r="N528" t="s">
        <v>78</v>
      </c>
      <c r="O528" t="s">
        <v>74</v>
      </c>
      <c r="P528" t="s">
        <v>74</v>
      </c>
      <c r="Q528" t="s">
        <v>74</v>
      </c>
      <c r="R528" t="s">
        <v>74</v>
      </c>
      <c r="S528" t="s">
        <v>74</v>
      </c>
      <c r="T528" t="s">
        <v>1247</v>
      </c>
      <c r="U528" t="s">
        <v>1248</v>
      </c>
      <c r="V528" t="s">
        <v>1249</v>
      </c>
      <c r="W528" t="s">
        <v>1250</v>
      </c>
      <c r="X528" t="s">
        <v>1251</v>
      </c>
      <c r="Y528" t="s">
        <v>1252</v>
      </c>
      <c r="Z528" t="s">
        <v>1253</v>
      </c>
      <c r="AA528" t="s">
        <v>1254</v>
      </c>
      <c r="AB528" t="s">
        <v>1255</v>
      </c>
      <c r="AC528" t="s">
        <v>74</v>
      </c>
      <c r="AD528" t="s">
        <v>74</v>
      </c>
      <c r="AE528" t="s">
        <v>74</v>
      </c>
      <c r="AF528" t="s">
        <v>74</v>
      </c>
      <c r="AG528">
        <v>95</v>
      </c>
      <c r="AH528">
        <v>4</v>
      </c>
      <c r="AI528">
        <v>4</v>
      </c>
      <c r="AJ528">
        <v>1</v>
      </c>
      <c r="AK528">
        <v>24</v>
      </c>
      <c r="AL528" t="s">
        <v>74</v>
      </c>
      <c r="AM528" t="s">
        <v>74</v>
      </c>
      <c r="AN528" t="s">
        <v>74</v>
      </c>
      <c r="AO528" t="s">
        <v>1256</v>
      </c>
      <c r="AP528" t="s">
        <v>1257</v>
      </c>
      <c r="AQ528" t="s">
        <v>74</v>
      </c>
      <c r="AR528" t="s">
        <v>74</v>
      </c>
      <c r="AS528" t="s">
        <v>74</v>
      </c>
      <c r="AT528" t="s">
        <v>74</v>
      </c>
      <c r="AU528">
        <v>2016</v>
      </c>
      <c r="AV528">
        <v>16</v>
      </c>
      <c r="AW528">
        <v>1</v>
      </c>
      <c r="AX528" t="s">
        <v>74</v>
      </c>
      <c r="AY528" t="s">
        <v>74</v>
      </c>
      <c r="AZ528" t="s">
        <v>74</v>
      </c>
      <c r="BA528" t="s">
        <v>74</v>
      </c>
      <c r="BB528">
        <v>34</v>
      </c>
      <c r="BC528">
        <v>42</v>
      </c>
      <c r="BD528" t="s">
        <v>74</v>
      </c>
      <c r="BE528" t="s">
        <v>1258</v>
      </c>
      <c r="BF528" t="str">
        <f>HYPERLINK("http://dx.doi.org/10.2174/1568009615666150923115439","http://dx.doi.org/10.2174/1568009615666150923115439")</f>
        <v>http://dx.doi.org/10.2174/1568009615666150923115439</v>
      </c>
      <c r="BG528" t="s">
        <v>74</v>
      </c>
      <c r="BH528" t="s">
        <v>74</v>
      </c>
      <c r="BI528" t="s">
        <v>74</v>
      </c>
      <c r="BJ528" t="s">
        <v>146</v>
      </c>
      <c r="BK528" t="s">
        <v>112</v>
      </c>
      <c r="BL528" t="s">
        <v>146</v>
      </c>
      <c r="BM528" t="s">
        <v>74</v>
      </c>
      <c r="BN528">
        <v>26412464</v>
      </c>
      <c r="BO528" t="s">
        <v>74</v>
      </c>
      <c r="BP528" t="s">
        <v>74</v>
      </c>
      <c r="BQ528" t="s">
        <v>74</v>
      </c>
      <c r="BR528" t="s">
        <v>93</v>
      </c>
      <c r="BS528" t="s">
        <v>1259</v>
      </c>
      <c r="BT528" t="str">
        <f>HYPERLINK("https%3A%2F%2Fwww.webofscience.com%2Fwos%2Fwoscc%2Ffull-record%2FWOS:000366900100003","View Full Record in Web of Science")</f>
        <v>View Full Record in Web of Science</v>
      </c>
    </row>
    <row r="529" spans="1:72" x14ac:dyDescent="0.15">
      <c r="A529" t="s">
        <v>72</v>
      </c>
      <c r="B529" t="s">
        <v>1733</v>
      </c>
      <c r="C529" t="s">
        <v>74</v>
      </c>
      <c r="D529" t="s">
        <v>74</v>
      </c>
      <c r="E529" t="s">
        <v>74</v>
      </c>
      <c r="F529" t="s">
        <v>1734</v>
      </c>
      <c r="G529" t="s">
        <v>74</v>
      </c>
      <c r="H529" t="s">
        <v>74</v>
      </c>
      <c r="I529" t="s">
        <v>1735</v>
      </c>
      <c r="J529" t="s">
        <v>339</v>
      </c>
      <c r="K529" t="s">
        <v>74</v>
      </c>
      <c r="L529" t="s">
        <v>74</v>
      </c>
      <c r="M529" t="s">
        <v>74</v>
      </c>
      <c r="N529" t="s">
        <v>78</v>
      </c>
      <c r="O529" t="s">
        <v>74</v>
      </c>
      <c r="P529" t="s">
        <v>74</v>
      </c>
      <c r="Q529" t="s">
        <v>74</v>
      </c>
      <c r="R529" t="s">
        <v>74</v>
      </c>
      <c r="S529" t="s">
        <v>74</v>
      </c>
      <c r="T529" t="s">
        <v>1736</v>
      </c>
      <c r="U529" t="s">
        <v>1737</v>
      </c>
      <c r="V529" t="s">
        <v>1738</v>
      </c>
      <c r="W529" t="s">
        <v>1739</v>
      </c>
      <c r="X529" t="s">
        <v>1740</v>
      </c>
      <c r="Y529" t="s">
        <v>1741</v>
      </c>
      <c r="Z529" t="s">
        <v>1742</v>
      </c>
      <c r="AA529" t="s">
        <v>1743</v>
      </c>
      <c r="AB529" t="s">
        <v>1744</v>
      </c>
      <c r="AC529" t="s">
        <v>74</v>
      </c>
      <c r="AD529" t="s">
        <v>74</v>
      </c>
      <c r="AE529" t="s">
        <v>74</v>
      </c>
      <c r="AF529" t="s">
        <v>74</v>
      </c>
      <c r="AG529">
        <v>74</v>
      </c>
      <c r="AH529">
        <v>4</v>
      </c>
      <c r="AI529">
        <v>4</v>
      </c>
      <c r="AJ529">
        <v>3</v>
      </c>
      <c r="AK529">
        <v>6</v>
      </c>
      <c r="AL529" t="s">
        <v>74</v>
      </c>
      <c r="AM529" t="s">
        <v>74</v>
      </c>
      <c r="AN529" t="s">
        <v>74</v>
      </c>
      <c r="AO529" t="s">
        <v>74</v>
      </c>
      <c r="AP529" t="s">
        <v>347</v>
      </c>
      <c r="AQ529" t="s">
        <v>74</v>
      </c>
      <c r="AR529" t="s">
        <v>74</v>
      </c>
      <c r="AS529" t="s">
        <v>74</v>
      </c>
      <c r="AT529" t="s">
        <v>437</v>
      </c>
      <c r="AU529">
        <v>2021</v>
      </c>
      <c r="AV529">
        <v>12</v>
      </c>
      <c r="AW529">
        <v>10</v>
      </c>
      <c r="AX529" t="s">
        <v>74</v>
      </c>
      <c r="AY529" t="s">
        <v>74</v>
      </c>
      <c r="AZ529" t="s">
        <v>74</v>
      </c>
      <c r="BA529" t="s">
        <v>74</v>
      </c>
      <c r="BB529" t="s">
        <v>74</v>
      </c>
      <c r="BC529" t="s">
        <v>74</v>
      </c>
      <c r="BD529">
        <v>1636</v>
      </c>
      <c r="BE529" t="s">
        <v>1745</v>
      </c>
      <c r="BF529" t="str">
        <f>HYPERLINK("http://dx.doi.org/10.3390/genes12101636","http://dx.doi.org/10.3390/genes12101636")</f>
        <v>http://dx.doi.org/10.3390/genes12101636</v>
      </c>
      <c r="BG529" t="s">
        <v>74</v>
      </c>
      <c r="BH529" t="s">
        <v>74</v>
      </c>
      <c r="BI529" t="s">
        <v>74</v>
      </c>
      <c r="BJ529" t="s">
        <v>349</v>
      </c>
      <c r="BK529" t="s">
        <v>112</v>
      </c>
      <c r="BL529" t="s">
        <v>349</v>
      </c>
      <c r="BM529" t="s">
        <v>74</v>
      </c>
      <c r="BN529">
        <v>34681030</v>
      </c>
      <c r="BO529" t="s">
        <v>74</v>
      </c>
      <c r="BP529" t="s">
        <v>74</v>
      </c>
      <c r="BQ529" t="s">
        <v>74</v>
      </c>
      <c r="BR529" t="s">
        <v>93</v>
      </c>
      <c r="BS529" t="s">
        <v>1746</v>
      </c>
      <c r="BT529" t="str">
        <f>HYPERLINK("https%3A%2F%2Fwww.webofscience.com%2Fwos%2Fwoscc%2Ffull-record%2FWOS:000716111300001","View Full Record in Web of Science")</f>
        <v>View Full Record in Web of Science</v>
      </c>
    </row>
    <row r="530" spans="1:72" x14ac:dyDescent="0.15">
      <c r="A530" t="s">
        <v>72</v>
      </c>
      <c r="B530" t="s">
        <v>2106</v>
      </c>
      <c r="C530" t="s">
        <v>74</v>
      </c>
      <c r="D530" t="s">
        <v>74</v>
      </c>
      <c r="E530" t="s">
        <v>74</v>
      </c>
      <c r="F530" t="s">
        <v>2107</v>
      </c>
      <c r="G530" t="s">
        <v>74</v>
      </c>
      <c r="H530" t="s">
        <v>74</v>
      </c>
      <c r="I530" t="s">
        <v>2108</v>
      </c>
      <c r="J530" t="s">
        <v>2109</v>
      </c>
      <c r="K530" t="s">
        <v>74</v>
      </c>
      <c r="L530" t="s">
        <v>74</v>
      </c>
      <c r="M530" t="s">
        <v>74</v>
      </c>
      <c r="N530" t="s">
        <v>78</v>
      </c>
      <c r="O530" t="s">
        <v>74</v>
      </c>
      <c r="P530" t="s">
        <v>74</v>
      </c>
      <c r="Q530" t="s">
        <v>74</v>
      </c>
      <c r="R530" t="s">
        <v>74</v>
      </c>
      <c r="S530" t="s">
        <v>74</v>
      </c>
      <c r="T530" t="s">
        <v>2110</v>
      </c>
      <c r="U530" t="s">
        <v>2111</v>
      </c>
      <c r="V530" t="s">
        <v>2112</v>
      </c>
      <c r="W530" t="s">
        <v>2113</v>
      </c>
      <c r="X530" t="s">
        <v>2114</v>
      </c>
      <c r="Y530" t="s">
        <v>2115</v>
      </c>
      <c r="Z530" t="s">
        <v>2116</v>
      </c>
      <c r="AA530" t="s">
        <v>2117</v>
      </c>
      <c r="AB530" t="s">
        <v>2118</v>
      </c>
      <c r="AC530" t="s">
        <v>74</v>
      </c>
      <c r="AD530" t="s">
        <v>74</v>
      </c>
      <c r="AE530" t="s">
        <v>74</v>
      </c>
      <c r="AF530" t="s">
        <v>74</v>
      </c>
      <c r="AG530">
        <v>46</v>
      </c>
      <c r="AH530">
        <v>4</v>
      </c>
      <c r="AI530">
        <v>3</v>
      </c>
      <c r="AJ530">
        <v>32</v>
      </c>
      <c r="AK530">
        <v>56</v>
      </c>
      <c r="AL530" t="s">
        <v>74</v>
      </c>
      <c r="AM530" t="s">
        <v>74</v>
      </c>
      <c r="AN530" t="s">
        <v>74</v>
      </c>
      <c r="AO530" t="s">
        <v>2119</v>
      </c>
      <c r="AP530" t="s">
        <v>2120</v>
      </c>
      <c r="AQ530" t="s">
        <v>74</v>
      </c>
      <c r="AR530" t="s">
        <v>74</v>
      </c>
      <c r="AS530" t="s">
        <v>74</v>
      </c>
      <c r="AT530" t="s">
        <v>640</v>
      </c>
      <c r="AU530">
        <v>2022</v>
      </c>
      <c r="AV530">
        <v>92</v>
      </c>
      <c r="AW530" t="s">
        <v>74</v>
      </c>
      <c r="AX530" t="s">
        <v>74</v>
      </c>
      <c r="AY530" t="s">
        <v>74</v>
      </c>
      <c r="AZ530" t="s">
        <v>74</v>
      </c>
      <c r="BA530" t="s">
        <v>74</v>
      </c>
      <c r="BB530" t="s">
        <v>74</v>
      </c>
      <c r="BC530" t="s">
        <v>74</v>
      </c>
      <c r="BD530">
        <v>106781</v>
      </c>
      <c r="BE530" t="s">
        <v>2121</v>
      </c>
      <c r="BF530" t="str">
        <f>HYPERLINK("http://dx.doi.org/10.1016/j.nanoen.2021.106781","http://dx.doi.org/10.1016/j.nanoen.2021.106781")</f>
        <v>http://dx.doi.org/10.1016/j.nanoen.2021.106781</v>
      </c>
      <c r="BG530" t="s">
        <v>74</v>
      </c>
      <c r="BH530" t="s">
        <v>2122</v>
      </c>
      <c r="BI530" t="s">
        <v>74</v>
      </c>
      <c r="BJ530" t="s">
        <v>2123</v>
      </c>
      <c r="BK530" t="s">
        <v>112</v>
      </c>
      <c r="BL530" t="s">
        <v>2124</v>
      </c>
      <c r="BM530" t="s">
        <v>74</v>
      </c>
      <c r="BN530" t="s">
        <v>74</v>
      </c>
      <c r="BO530" t="s">
        <v>74</v>
      </c>
      <c r="BP530" t="s">
        <v>74</v>
      </c>
      <c r="BQ530" t="s">
        <v>74</v>
      </c>
      <c r="BR530" t="s">
        <v>93</v>
      </c>
      <c r="BS530" t="s">
        <v>2125</v>
      </c>
      <c r="BT530" t="str">
        <f>HYPERLINK("https%3A%2F%2Fwww.webofscience.com%2Fwos%2Fwoscc%2Ffull-record%2FWOS:000726773700001","View Full Record in Web of Science")</f>
        <v>View Full Record in Web of Science</v>
      </c>
    </row>
    <row r="531" spans="1:72" x14ac:dyDescent="0.15">
      <c r="A531" t="s">
        <v>72</v>
      </c>
      <c r="B531" t="s">
        <v>2139</v>
      </c>
      <c r="C531" t="s">
        <v>74</v>
      </c>
      <c r="D531" t="s">
        <v>74</v>
      </c>
      <c r="E531" t="s">
        <v>74</v>
      </c>
      <c r="F531" t="s">
        <v>2140</v>
      </c>
      <c r="G531" t="s">
        <v>74</v>
      </c>
      <c r="H531" t="s">
        <v>74</v>
      </c>
      <c r="I531" t="s">
        <v>2141</v>
      </c>
      <c r="J531" t="s">
        <v>354</v>
      </c>
      <c r="K531" t="s">
        <v>74</v>
      </c>
      <c r="L531" t="s">
        <v>74</v>
      </c>
      <c r="M531" t="s">
        <v>74</v>
      </c>
      <c r="N531" t="s">
        <v>78</v>
      </c>
      <c r="O531" t="s">
        <v>74</v>
      </c>
      <c r="P531" t="s">
        <v>74</v>
      </c>
      <c r="Q531" t="s">
        <v>74</v>
      </c>
      <c r="R531" t="s">
        <v>74</v>
      </c>
      <c r="S531" t="s">
        <v>74</v>
      </c>
      <c r="T531" t="s">
        <v>2142</v>
      </c>
      <c r="U531" t="s">
        <v>2143</v>
      </c>
      <c r="V531" t="s">
        <v>2144</v>
      </c>
      <c r="W531" t="s">
        <v>2145</v>
      </c>
      <c r="X531" t="s">
        <v>2146</v>
      </c>
      <c r="Y531" t="s">
        <v>2147</v>
      </c>
      <c r="Z531" t="s">
        <v>2148</v>
      </c>
      <c r="AA531" t="s">
        <v>74</v>
      </c>
      <c r="AB531" t="s">
        <v>74</v>
      </c>
      <c r="AC531" t="s">
        <v>74</v>
      </c>
      <c r="AD531" t="s">
        <v>74</v>
      </c>
      <c r="AE531" t="s">
        <v>74</v>
      </c>
      <c r="AF531" t="s">
        <v>74</v>
      </c>
      <c r="AG531">
        <v>40</v>
      </c>
      <c r="AH531">
        <v>4</v>
      </c>
      <c r="AI531">
        <v>4</v>
      </c>
      <c r="AJ531">
        <v>0</v>
      </c>
      <c r="AK531">
        <v>6</v>
      </c>
      <c r="AL531" t="s">
        <v>74</v>
      </c>
      <c r="AM531" t="s">
        <v>74</v>
      </c>
      <c r="AN531" t="s">
        <v>74</v>
      </c>
      <c r="AO531" t="s">
        <v>362</v>
      </c>
      <c r="AP531" t="s">
        <v>363</v>
      </c>
      <c r="AQ531" t="s">
        <v>74</v>
      </c>
      <c r="AR531" t="s">
        <v>74</v>
      </c>
      <c r="AS531" t="s">
        <v>74</v>
      </c>
      <c r="AT531" t="s">
        <v>236</v>
      </c>
      <c r="AU531">
        <v>2017</v>
      </c>
      <c r="AV531">
        <v>36</v>
      </c>
      <c r="AW531">
        <v>11</v>
      </c>
      <c r="AX531" t="s">
        <v>74</v>
      </c>
      <c r="AY531" t="s">
        <v>74</v>
      </c>
      <c r="AZ531" t="s">
        <v>74</v>
      </c>
      <c r="BA531" t="s">
        <v>74</v>
      </c>
      <c r="BB531">
        <v>909</v>
      </c>
      <c r="BC531">
        <v>921</v>
      </c>
      <c r="BD531" t="s">
        <v>74</v>
      </c>
      <c r="BE531" t="s">
        <v>2149</v>
      </c>
      <c r="BF531" t="str">
        <f>HYPERLINK("http://dx.doi.org/10.1089/dna.2017.3847","http://dx.doi.org/10.1089/dna.2017.3847")</f>
        <v>http://dx.doi.org/10.1089/dna.2017.3847</v>
      </c>
      <c r="BG531" t="s">
        <v>74</v>
      </c>
      <c r="BH531" t="s">
        <v>74</v>
      </c>
      <c r="BI531" t="s">
        <v>74</v>
      </c>
      <c r="BJ531" t="s">
        <v>367</v>
      </c>
      <c r="BK531" t="s">
        <v>112</v>
      </c>
      <c r="BL531" t="s">
        <v>367</v>
      </c>
      <c r="BM531" t="s">
        <v>74</v>
      </c>
      <c r="BN531">
        <v>29040005</v>
      </c>
      <c r="BO531" t="s">
        <v>74</v>
      </c>
      <c r="BP531" t="s">
        <v>74</v>
      </c>
      <c r="BQ531" t="s">
        <v>74</v>
      </c>
      <c r="BR531" t="s">
        <v>93</v>
      </c>
      <c r="BS531" t="s">
        <v>2150</v>
      </c>
      <c r="BT531" t="str">
        <f>HYPERLINK("https%3A%2F%2Fwww.webofscience.com%2Fwos%2Fwoscc%2Ffull-record%2FWOS:000415091900005","View Full Record in Web of Science")</f>
        <v>View Full Record in Web of Science</v>
      </c>
    </row>
    <row r="532" spans="1:72" x14ac:dyDescent="0.15">
      <c r="A532" t="s">
        <v>72</v>
      </c>
      <c r="B532" t="s">
        <v>2310</v>
      </c>
      <c r="C532" t="s">
        <v>74</v>
      </c>
      <c r="D532" t="s">
        <v>74</v>
      </c>
      <c r="E532" t="s">
        <v>74</v>
      </c>
      <c r="F532" t="s">
        <v>2311</v>
      </c>
      <c r="G532" t="s">
        <v>74</v>
      </c>
      <c r="H532" t="s">
        <v>74</v>
      </c>
      <c r="I532" t="s">
        <v>2312</v>
      </c>
      <c r="J532" t="s">
        <v>2094</v>
      </c>
      <c r="K532" t="s">
        <v>74</v>
      </c>
      <c r="L532" t="s">
        <v>74</v>
      </c>
      <c r="M532" t="s">
        <v>74</v>
      </c>
      <c r="N532" t="s">
        <v>78</v>
      </c>
      <c r="O532" t="s">
        <v>74</v>
      </c>
      <c r="P532" t="s">
        <v>74</v>
      </c>
      <c r="Q532" t="s">
        <v>74</v>
      </c>
      <c r="R532" t="s">
        <v>74</v>
      </c>
      <c r="S532" t="s">
        <v>74</v>
      </c>
      <c r="T532" t="s">
        <v>2313</v>
      </c>
      <c r="U532" t="s">
        <v>2314</v>
      </c>
      <c r="V532" t="s">
        <v>2315</v>
      </c>
      <c r="W532" t="s">
        <v>2316</v>
      </c>
      <c r="X532" t="s">
        <v>2317</v>
      </c>
      <c r="Y532" t="s">
        <v>2318</v>
      </c>
      <c r="Z532" t="s">
        <v>2319</v>
      </c>
      <c r="AA532" t="s">
        <v>2320</v>
      </c>
      <c r="AB532" t="s">
        <v>2321</v>
      </c>
      <c r="AC532" t="s">
        <v>74</v>
      </c>
      <c r="AD532" t="s">
        <v>74</v>
      </c>
      <c r="AE532" t="s">
        <v>74</v>
      </c>
      <c r="AF532" t="s">
        <v>74</v>
      </c>
      <c r="AG532">
        <v>29</v>
      </c>
      <c r="AH532">
        <v>4</v>
      </c>
      <c r="AI532">
        <v>4</v>
      </c>
      <c r="AJ532">
        <v>5</v>
      </c>
      <c r="AK532">
        <v>8</v>
      </c>
      <c r="AL532" t="s">
        <v>74</v>
      </c>
      <c r="AM532" t="s">
        <v>74</v>
      </c>
      <c r="AN532" t="s">
        <v>74</v>
      </c>
      <c r="AO532" t="s">
        <v>74</v>
      </c>
      <c r="AP532" t="s">
        <v>2103</v>
      </c>
      <c r="AQ532" t="s">
        <v>74</v>
      </c>
      <c r="AR532" t="s">
        <v>74</v>
      </c>
      <c r="AS532" t="s">
        <v>74</v>
      </c>
      <c r="AT532" t="s">
        <v>659</v>
      </c>
      <c r="AU532">
        <v>2021</v>
      </c>
      <c r="AV532">
        <v>10</v>
      </c>
      <c r="AW532">
        <v>9</v>
      </c>
      <c r="AX532" t="s">
        <v>74</v>
      </c>
      <c r="AY532" t="s">
        <v>74</v>
      </c>
      <c r="AZ532" t="s">
        <v>74</v>
      </c>
      <c r="BA532" t="s">
        <v>74</v>
      </c>
      <c r="BB532" t="s">
        <v>74</v>
      </c>
      <c r="BC532" t="s">
        <v>74</v>
      </c>
      <c r="BD532">
        <v>2372</v>
      </c>
      <c r="BE532" t="s">
        <v>2322</v>
      </c>
      <c r="BF532" t="str">
        <f>HYPERLINK("http://dx.doi.org/10.3390/cells10092372","http://dx.doi.org/10.3390/cells10092372")</f>
        <v>http://dx.doi.org/10.3390/cells10092372</v>
      </c>
      <c r="BG532" t="s">
        <v>74</v>
      </c>
      <c r="BH532" t="s">
        <v>74</v>
      </c>
      <c r="BI532" t="s">
        <v>74</v>
      </c>
      <c r="BJ532" t="s">
        <v>419</v>
      </c>
      <c r="BK532" t="s">
        <v>112</v>
      </c>
      <c r="BL532" t="s">
        <v>419</v>
      </c>
      <c r="BM532" t="s">
        <v>74</v>
      </c>
      <c r="BN532">
        <v>34572021</v>
      </c>
      <c r="BO532" t="s">
        <v>74</v>
      </c>
      <c r="BP532" t="s">
        <v>74</v>
      </c>
      <c r="BQ532" t="s">
        <v>74</v>
      </c>
      <c r="BR532" t="s">
        <v>93</v>
      </c>
      <c r="BS532" t="s">
        <v>2323</v>
      </c>
      <c r="BT532" t="str">
        <f>HYPERLINK("https%3A%2F%2Fwww.webofscience.com%2Fwos%2Fwoscc%2Ffull-record%2FWOS:000699411900001","View Full Record in Web of Science")</f>
        <v>View Full Record in Web of Science</v>
      </c>
    </row>
    <row r="533" spans="1:72" x14ac:dyDescent="0.15">
      <c r="A533" t="s">
        <v>72</v>
      </c>
      <c r="B533" t="s">
        <v>4100</v>
      </c>
      <c r="C533" t="s">
        <v>74</v>
      </c>
      <c r="D533" t="s">
        <v>74</v>
      </c>
      <c r="E533" t="s">
        <v>74</v>
      </c>
      <c r="F533" t="s">
        <v>4101</v>
      </c>
      <c r="G533" t="s">
        <v>74</v>
      </c>
      <c r="H533" t="s">
        <v>74</v>
      </c>
      <c r="I533" t="s">
        <v>4102</v>
      </c>
      <c r="J533" t="s">
        <v>4103</v>
      </c>
      <c r="K533" t="s">
        <v>74</v>
      </c>
      <c r="L533" t="s">
        <v>74</v>
      </c>
      <c r="M533" t="s">
        <v>74</v>
      </c>
      <c r="N533" t="s">
        <v>78</v>
      </c>
      <c r="O533" t="s">
        <v>74</v>
      </c>
      <c r="P533" t="s">
        <v>74</v>
      </c>
      <c r="Q533" t="s">
        <v>74</v>
      </c>
      <c r="R533" t="s">
        <v>74</v>
      </c>
      <c r="S533" t="s">
        <v>74</v>
      </c>
      <c r="T533" t="s">
        <v>4104</v>
      </c>
      <c r="U533" t="s">
        <v>4105</v>
      </c>
      <c r="V533" t="s">
        <v>4106</v>
      </c>
      <c r="W533" t="s">
        <v>4107</v>
      </c>
      <c r="X533" t="s">
        <v>4108</v>
      </c>
      <c r="Y533" t="s">
        <v>4109</v>
      </c>
      <c r="Z533" t="s">
        <v>4110</v>
      </c>
      <c r="AA533" t="s">
        <v>4111</v>
      </c>
      <c r="AB533" t="s">
        <v>4112</v>
      </c>
      <c r="AC533" t="s">
        <v>74</v>
      </c>
      <c r="AD533" t="s">
        <v>74</v>
      </c>
      <c r="AE533" t="s">
        <v>74</v>
      </c>
      <c r="AF533" t="s">
        <v>74</v>
      </c>
      <c r="AG533">
        <v>59</v>
      </c>
      <c r="AH533">
        <v>4</v>
      </c>
      <c r="AI533">
        <v>5</v>
      </c>
      <c r="AJ533">
        <v>2</v>
      </c>
      <c r="AK533">
        <v>12</v>
      </c>
      <c r="AL533" t="s">
        <v>74</v>
      </c>
      <c r="AM533" t="s">
        <v>74</v>
      </c>
      <c r="AN533" t="s">
        <v>74</v>
      </c>
      <c r="AO533" t="s">
        <v>4113</v>
      </c>
      <c r="AP533" t="s">
        <v>4114</v>
      </c>
      <c r="AQ533" t="s">
        <v>74</v>
      </c>
      <c r="AR533" t="s">
        <v>74</v>
      </c>
      <c r="AS533" t="s">
        <v>74</v>
      </c>
      <c r="AT533" t="s">
        <v>640</v>
      </c>
      <c r="AU533">
        <v>2021</v>
      </c>
      <c r="AV533">
        <v>36</v>
      </c>
      <c r="AW533">
        <v>1</v>
      </c>
      <c r="AX533" t="s">
        <v>74</v>
      </c>
      <c r="AY533" t="s">
        <v>74</v>
      </c>
      <c r="AZ533" t="s">
        <v>74</v>
      </c>
      <c r="BA533" t="s">
        <v>74</v>
      </c>
      <c r="BB533">
        <v>12</v>
      </c>
      <c r="BC533">
        <v>24</v>
      </c>
      <c r="BD533" t="s">
        <v>74</v>
      </c>
      <c r="BE533" t="s">
        <v>4115</v>
      </c>
      <c r="BF533" t="str">
        <f>HYPERLINK("http://dx.doi.org/10.1111/omi.12318","http://dx.doi.org/10.1111/omi.12318")</f>
        <v>http://dx.doi.org/10.1111/omi.12318</v>
      </c>
      <c r="BG533" t="s">
        <v>74</v>
      </c>
      <c r="BH533" t="s">
        <v>291</v>
      </c>
      <c r="BI533" t="s">
        <v>74</v>
      </c>
      <c r="BJ533" t="s">
        <v>4116</v>
      </c>
      <c r="BK533" t="s">
        <v>112</v>
      </c>
      <c r="BL533" t="s">
        <v>4116</v>
      </c>
      <c r="BM533" t="s">
        <v>74</v>
      </c>
      <c r="BN533">
        <v>33040492</v>
      </c>
      <c r="BO533" t="s">
        <v>74</v>
      </c>
      <c r="BP533" t="s">
        <v>74</v>
      </c>
      <c r="BQ533" t="s">
        <v>74</v>
      </c>
      <c r="BR533" t="s">
        <v>93</v>
      </c>
      <c r="BS533" t="s">
        <v>4117</v>
      </c>
      <c r="BT533" t="str">
        <f>HYPERLINK("https%3A%2F%2Fwww.webofscience.com%2Fwos%2Fwoscc%2Ffull-record%2FWOS:000595230300001","View Full Record in Web of Science")</f>
        <v>View Full Record in Web of Science</v>
      </c>
    </row>
    <row r="534" spans="1:72" x14ac:dyDescent="0.15">
      <c r="A534" t="s">
        <v>72</v>
      </c>
      <c r="B534" t="s">
        <v>4230</v>
      </c>
      <c r="C534" t="s">
        <v>74</v>
      </c>
      <c r="D534" t="s">
        <v>74</v>
      </c>
      <c r="E534" t="s">
        <v>74</v>
      </c>
      <c r="F534" t="s">
        <v>4231</v>
      </c>
      <c r="G534" t="s">
        <v>74</v>
      </c>
      <c r="H534" t="s">
        <v>74</v>
      </c>
      <c r="I534" t="s">
        <v>4232</v>
      </c>
      <c r="J534" t="s">
        <v>4233</v>
      </c>
      <c r="K534" t="s">
        <v>74</v>
      </c>
      <c r="L534" t="s">
        <v>74</v>
      </c>
      <c r="M534" t="s">
        <v>74</v>
      </c>
      <c r="N534" t="s">
        <v>78</v>
      </c>
      <c r="O534" t="s">
        <v>74</v>
      </c>
      <c r="P534" t="s">
        <v>74</v>
      </c>
      <c r="Q534" t="s">
        <v>74</v>
      </c>
      <c r="R534" t="s">
        <v>74</v>
      </c>
      <c r="S534" t="s">
        <v>74</v>
      </c>
      <c r="T534" t="s">
        <v>4234</v>
      </c>
      <c r="U534" t="s">
        <v>4235</v>
      </c>
      <c r="V534" t="s">
        <v>4236</v>
      </c>
      <c r="W534" t="s">
        <v>4237</v>
      </c>
      <c r="X534" t="s">
        <v>4238</v>
      </c>
      <c r="Y534" t="s">
        <v>4239</v>
      </c>
      <c r="Z534" t="s">
        <v>4240</v>
      </c>
      <c r="AA534" t="s">
        <v>74</v>
      </c>
      <c r="AB534" t="s">
        <v>4241</v>
      </c>
      <c r="AC534" t="s">
        <v>74</v>
      </c>
      <c r="AD534" t="s">
        <v>74</v>
      </c>
      <c r="AE534" t="s">
        <v>74</v>
      </c>
      <c r="AF534" t="s">
        <v>74</v>
      </c>
      <c r="AG534">
        <v>59</v>
      </c>
      <c r="AH534">
        <v>4</v>
      </c>
      <c r="AI534">
        <v>4</v>
      </c>
      <c r="AJ534">
        <v>3</v>
      </c>
      <c r="AK534">
        <v>9</v>
      </c>
      <c r="AL534" t="s">
        <v>74</v>
      </c>
      <c r="AM534" t="s">
        <v>74</v>
      </c>
      <c r="AN534" t="s">
        <v>74</v>
      </c>
      <c r="AO534" t="s">
        <v>4242</v>
      </c>
      <c r="AP534" t="s">
        <v>74</v>
      </c>
      <c r="AQ534" t="s">
        <v>74</v>
      </c>
      <c r="AR534" t="s">
        <v>74</v>
      </c>
      <c r="AS534" t="s">
        <v>74</v>
      </c>
      <c r="AT534" t="s">
        <v>4243</v>
      </c>
      <c r="AU534">
        <v>2020</v>
      </c>
      <c r="AV534">
        <v>8</v>
      </c>
      <c r="AW534" t="s">
        <v>74</v>
      </c>
      <c r="AX534" t="s">
        <v>74</v>
      </c>
      <c r="AY534" t="s">
        <v>74</v>
      </c>
      <c r="AZ534" t="s">
        <v>74</v>
      </c>
      <c r="BA534" t="s">
        <v>74</v>
      </c>
      <c r="BB534" t="s">
        <v>74</v>
      </c>
      <c r="BC534" t="s">
        <v>74</v>
      </c>
      <c r="BD534">
        <v>581157</v>
      </c>
      <c r="BE534" t="s">
        <v>4244</v>
      </c>
      <c r="BF534" t="str">
        <f>HYPERLINK("http://dx.doi.org/10.3389/fbioe.2020.581157","http://dx.doi.org/10.3389/fbioe.2020.581157")</f>
        <v>http://dx.doi.org/10.3389/fbioe.2020.581157</v>
      </c>
      <c r="BG534" t="s">
        <v>74</v>
      </c>
      <c r="BH534" t="s">
        <v>74</v>
      </c>
      <c r="BI534" t="s">
        <v>74</v>
      </c>
      <c r="BJ534" t="s">
        <v>4245</v>
      </c>
      <c r="BK534" t="s">
        <v>112</v>
      </c>
      <c r="BL534" t="s">
        <v>1682</v>
      </c>
      <c r="BM534" t="s">
        <v>74</v>
      </c>
      <c r="BN534">
        <v>33224932</v>
      </c>
      <c r="BO534" t="s">
        <v>74</v>
      </c>
      <c r="BP534" t="s">
        <v>74</v>
      </c>
      <c r="BQ534" t="s">
        <v>74</v>
      </c>
      <c r="BR534" t="s">
        <v>93</v>
      </c>
      <c r="BS534" t="s">
        <v>4246</v>
      </c>
      <c r="BT534" t="str">
        <f>HYPERLINK("https%3A%2F%2Fwww.webofscience.com%2Fwos%2Fwoscc%2Ffull-record%2FWOS:000591595400001","View Full Record in Web of Science")</f>
        <v>View Full Record in Web of Science</v>
      </c>
    </row>
    <row r="535" spans="1:72" x14ac:dyDescent="0.15">
      <c r="A535" t="s">
        <v>72</v>
      </c>
      <c r="B535" t="s">
        <v>4798</v>
      </c>
      <c r="C535" t="s">
        <v>74</v>
      </c>
      <c r="D535" t="s">
        <v>74</v>
      </c>
      <c r="E535" t="s">
        <v>74</v>
      </c>
      <c r="F535" t="s">
        <v>4799</v>
      </c>
      <c r="G535" t="s">
        <v>74</v>
      </c>
      <c r="H535" t="s">
        <v>74</v>
      </c>
      <c r="I535" t="s">
        <v>4800</v>
      </c>
      <c r="J535" t="s">
        <v>4801</v>
      </c>
      <c r="K535" t="s">
        <v>74</v>
      </c>
      <c r="L535" t="s">
        <v>74</v>
      </c>
      <c r="M535" t="s">
        <v>74</v>
      </c>
      <c r="N535" t="s">
        <v>78</v>
      </c>
      <c r="O535" t="s">
        <v>74</v>
      </c>
      <c r="P535" t="s">
        <v>74</v>
      </c>
      <c r="Q535" t="s">
        <v>74</v>
      </c>
      <c r="R535" t="s">
        <v>74</v>
      </c>
      <c r="S535" t="s">
        <v>74</v>
      </c>
      <c r="T535" t="s">
        <v>74</v>
      </c>
      <c r="U535" t="s">
        <v>4802</v>
      </c>
      <c r="V535" t="s">
        <v>4803</v>
      </c>
      <c r="W535" t="s">
        <v>4804</v>
      </c>
      <c r="X535" t="s">
        <v>4805</v>
      </c>
      <c r="Y535" t="s">
        <v>4806</v>
      </c>
      <c r="Z535" t="s">
        <v>4807</v>
      </c>
      <c r="AA535" t="s">
        <v>4808</v>
      </c>
      <c r="AB535" t="s">
        <v>4809</v>
      </c>
      <c r="AC535" t="s">
        <v>74</v>
      </c>
      <c r="AD535" t="s">
        <v>74</v>
      </c>
      <c r="AE535" t="s">
        <v>74</v>
      </c>
      <c r="AF535" t="s">
        <v>74</v>
      </c>
      <c r="AG535">
        <v>35</v>
      </c>
      <c r="AH535">
        <v>4</v>
      </c>
      <c r="AI535">
        <v>4</v>
      </c>
      <c r="AJ535">
        <v>3</v>
      </c>
      <c r="AK535">
        <v>18</v>
      </c>
      <c r="AL535" t="s">
        <v>74</v>
      </c>
      <c r="AM535" t="s">
        <v>74</v>
      </c>
      <c r="AN535" t="s">
        <v>74</v>
      </c>
      <c r="AO535" t="s">
        <v>4810</v>
      </c>
      <c r="AP535" t="s">
        <v>4811</v>
      </c>
      <c r="AQ535" t="s">
        <v>74</v>
      </c>
      <c r="AR535" t="s">
        <v>74</v>
      </c>
      <c r="AS535" t="s">
        <v>74</v>
      </c>
      <c r="AT535" t="s">
        <v>364</v>
      </c>
      <c r="AU535">
        <v>2020</v>
      </c>
      <c r="AV535">
        <v>5</v>
      </c>
      <c r="AW535">
        <v>9</v>
      </c>
      <c r="AX535" t="s">
        <v>74</v>
      </c>
      <c r="AY535" t="s">
        <v>74</v>
      </c>
      <c r="AZ535" t="s">
        <v>74</v>
      </c>
      <c r="BA535" t="s">
        <v>74</v>
      </c>
      <c r="BB535">
        <v>1317</v>
      </c>
      <c r="BC535">
        <v>1323</v>
      </c>
      <c r="BD535" t="s">
        <v>74</v>
      </c>
      <c r="BE535" t="s">
        <v>4812</v>
      </c>
      <c r="BF535" t="str">
        <f>HYPERLINK("http://dx.doi.org/10.1039/d0nh00258e","http://dx.doi.org/10.1039/d0nh00258e")</f>
        <v>http://dx.doi.org/10.1039/d0nh00258e</v>
      </c>
      <c r="BG535" t="s">
        <v>74</v>
      </c>
      <c r="BH535" t="s">
        <v>74</v>
      </c>
      <c r="BI535" t="s">
        <v>74</v>
      </c>
      <c r="BJ535" t="s">
        <v>4813</v>
      </c>
      <c r="BK535" t="s">
        <v>112</v>
      </c>
      <c r="BL535" t="s">
        <v>700</v>
      </c>
      <c r="BM535" t="s">
        <v>74</v>
      </c>
      <c r="BN535">
        <v>32530449</v>
      </c>
      <c r="BO535" t="s">
        <v>74</v>
      </c>
      <c r="BP535" t="s">
        <v>74</v>
      </c>
      <c r="BQ535" t="s">
        <v>74</v>
      </c>
      <c r="BR535" t="s">
        <v>93</v>
      </c>
      <c r="BS535" t="s">
        <v>4814</v>
      </c>
      <c r="BT535" t="str">
        <f>HYPERLINK("https%3A%2F%2Fwww.webofscience.com%2Fwos%2Fwoscc%2Ffull-record%2FWOS:000562279500008","View Full Record in Web of Science")</f>
        <v>View Full Record in Web of Science</v>
      </c>
    </row>
    <row r="536" spans="1:72" x14ac:dyDescent="0.15">
      <c r="A536" t="s">
        <v>72</v>
      </c>
      <c r="B536" t="s">
        <v>4957</v>
      </c>
      <c r="C536" t="s">
        <v>74</v>
      </c>
      <c r="D536" t="s">
        <v>74</v>
      </c>
      <c r="E536" t="s">
        <v>74</v>
      </c>
      <c r="F536" t="s">
        <v>4958</v>
      </c>
      <c r="G536" t="s">
        <v>74</v>
      </c>
      <c r="H536" t="s">
        <v>74</v>
      </c>
      <c r="I536" t="s">
        <v>4959</v>
      </c>
      <c r="J536" t="s">
        <v>4960</v>
      </c>
      <c r="K536" t="s">
        <v>74</v>
      </c>
      <c r="L536" t="s">
        <v>74</v>
      </c>
      <c r="M536" t="s">
        <v>74</v>
      </c>
      <c r="N536" t="s">
        <v>78</v>
      </c>
      <c r="O536" t="s">
        <v>74</v>
      </c>
      <c r="P536" t="s">
        <v>74</v>
      </c>
      <c r="Q536" t="s">
        <v>74</v>
      </c>
      <c r="R536" t="s">
        <v>74</v>
      </c>
      <c r="S536" t="s">
        <v>74</v>
      </c>
      <c r="T536" t="s">
        <v>4961</v>
      </c>
      <c r="U536" t="s">
        <v>4962</v>
      </c>
      <c r="V536" t="s">
        <v>4963</v>
      </c>
      <c r="W536" t="s">
        <v>4964</v>
      </c>
      <c r="X536" t="s">
        <v>4965</v>
      </c>
      <c r="Y536" t="s">
        <v>4966</v>
      </c>
      <c r="Z536" t="s">
        <v>4967</v>
      </c>
      <c r="AA536" t="s">
        <v>4968</v>
      </c>
      <c r="AB536" t="s">
        <v>4969</v>
      </c>
      <c r="AC536" t="s">
        <v>74</v>
      </c>
      <c r="AD536" t="s">
        <v>74</v>
      </c>
      <c r="AE536" t="s">
        <v>74</v>
      </c>
      <c r="AF536" t="s">
        <v>74</v>
      </c>
      <c r="AG536">
        <v>40</v>
      </c>
      <c r="AH536">
        <v>4</v>
      </c>
      <c r="AI536">
        <v>4</v>
      </c>
      <c r="AJ536">
        <v>4</v>
      </c>
      <c r="AK536">
        <v>7</v>
      </c>
      <c r="AL536" t="s">
        <v>74</v>
      </c>
      <c r="AM536" t="s">
        <v>74</v>
      </c>
      <c r="AN536" t="s">
        <v>74</v>
      </c>
      <c r="AO536" t="s">
        <v>74</v>
      </c>
      <c r="AP536" t="s">
        <v>4970</v>
      </c>
      <c r="AQ536" t="s">
        <v>74</v>
      </c>
      <c r="AR536" t="s">
        <v>74</v>
      </c>
      <c r="AS536" t="s">
        <v>74</v>
      </c>
      <c r="AT536" t="s">
        <v>659</v>
      </c>
      <c r="AU536">
        <v>2020</v>
      </c>
      <c r="AV536">
        <v>9</v>
      </c>
      <c r="AW536">
        <v>9</v>
      </c>
      <c r="AX536" t="s">
        <v>74</v>
      </c>
      <c r="AY536" t="s">
        <v>74</v>
      </c>
      <c r="AZ536" t="s">
        <v>74</v>
      </c>
      <c r="BA536" t="s">
        <v>74</v>
      </c>
      <c r="BB536" t="s">
        <v>74</v>
      </c>
      <c r="BC536" t="s">
        <v>74</v>
      </c>
      <c r="BD536">
        <v>2930</v>
      </c>
      <c r="BE536" t="s">
        <v>4971</v>
      </c>
      <c r="BF536" t="str">
        <f>HYPERLINK("http://dx.doi.org/10.3390/jcm9092930","http://dx.doi.org/10.3390/jcm9092930")</f>
        <v>http://dx.doi.org/10.3390/jcm9092930</v>
      </c>
      <c r="BG536" t="s">
        <v>74</v>
      </c>
      <c r="BH536" t="s">
        <v>74</v>
      </c>
      <c r="BI536" t="s">
        <v>74</v>
      </c>
      <c r="BJ536" t="s">
        <v>802</v>
      </c>
      <c r="BK536" t="s">
        <v>112</v>
      </c>
      <c r="BL536" t="s">
        <v>803</v>
      </c>
      <c r="BM536" t="s">
        <v>74</v>
      </c>
      <c r="BN536">
        <v>32932765</v>
      </c>
      <c r="BO536" t="s">
        <v>74</v>
      </c>
      <c r="BP536" t="s">
        <v>74</v>
      </c>
      <c r="BQ536" t="s">
        <v>74</v>
      </c>
      <c r="BR536" t="s">
        <v>93</v>
      </c>
      <c r="BS536" t="s">
        <v>4972</v>
      </c>
      <c r="BT536" t="str">
        <f>HYPERLINK("https%3A%2F%2Fwww.webofscience.com%2Fwos%2Fwoscc%2Ffull-record%2FWOS:000580270100001","View Full Record in Web of Science")</f>
        <v>View Full Record in Web of Science</v>
      </c>
    </row>
    <row r="537" spans="1:72" x14ac:dyDescent="0.15">
      <c r="A537" t="s">
        <v>72</v>
      </c>
      <c r="B537" t="s">
        <v>4973</v>
      </c>
      <c r="C537" t="s">
        <v>74</v>
      </c>
      <c r="D537" t="s">
        <v>74</v>
      </c>
      <c r="E537" t="s">
        <v>74</v>
      </c>
      <c r="F537" t="s">
        <v>4974</v>
      </c>
      <c r="G537" t="s">
        <v>74</v>
      </c>
      <c r="H537" t="s">
        <v>74</v>
      </c>
      <c r="I537" t="s">
        <v>4975</v>
      </c>
      <c r="J537" t="s">
        <v>4976</v>
      </c>
      <c r="K537" t="s">
        <v>74</v>
      </c>
      <c r="L537" t="s">
        <v>74</v>
      </c>
      <c r="M537" t="s">
        <v>74</v>
      </c>
      <c r="N537" t="s">
        <v>78</v>
      </c>
      <c r="O537" t="s">
        <v>74</v>
      </c>
      <c r="P537" t="s">
        <v>74</v>
      </c>
      <c r="Q537" t="s">
        <v>74</v>
      </c>
      <c r="R537" t="s">
        <v>74</v>
      </c>
      <c r="S537" t="s">
        <v>74</v>
      </c>
      <c r="T537" t="s">
        <v>4977</v>
      </c>
      <c r="U537" t="s">
        <v>4978</v>
      </c>
      <c r="V537" t="s">
        <v>4979</v>
      </c>
      <c r="W537" t="s">
        <v>4980</v>
      </c>
      <c r="X537" t="s">
        <v>4981</v>
      </c>
      <c r="Y537" t="s">
        <v>4982</v>
      </c>
      <c r="Z537" t="s">
        <v>4983</v>
      </c>
      <c r="AA537" t="s">
        <v>4984</v>
      </c>
      <c r="AB537" t="s">
        <v>4985</v>
      </c>
      <c r="AC537" t="s">
        <v>74</v>
      </c>
      <c r="AD537" t="s">
        <v>74</v>
      </c>
      <c r="AE537" t="s">
        <v>74</v>
      </c>
      <c r="AF537" t="s">
        <v>74</v>
      </c>
      <c r="AG537">
        <v>58</v>
      </c>
      <c r="AH537">
        <v>4</v>
      </c>
      <c r="AI537">
        <v>4</v>
      </c>
      <c r="AJ537">
        <v>1</v>
      </c>
      <c r="AK537">
        <v>3</v>
      </c>
      <c r="AL537" t="s">
        <v>74</v>
      </c>
      <c r="AM537" t="s">
        <v>74</v>
      </c>
      <c r="AN537" t="s">
        <v>74</v>
      </c>
      <c r="AO537" t="s">
        <v>4986</v>
      </c>
      <c r="AP537" t="s">
        <v>4987</v>
      </c>
      <c r="AQ537" t="s">
        <v>74</v>
      </c>
      <c r="AR537" t="s">
        <v>74</v>
      </c>
      <c r="AS537" t="s">
        <v>74</v>
      </c>
      <c r="AT537" t="s">
        <v>74</v>
      </c>
      <c r="AU537">
        <v>2017</v>
      </c>
      <c r="AV537">
        <v>55</v>
      </c>
      <c r="AW537">
        <v>2</v>
      </c>
      <c r="AX537" t="s">
        <v>74</v>
      </c>
      <c r="AY537" t="s">
        <v>74</v>
      </c>
      <c r="AZ537" t="s">
        <v>74</v>
      </c>
      <c r="BA537" t="s">
        <v>74</v>
      </c>
      <c r="BB537">
        <v>62</v>
      </c>
      <c r="BC537">
        <v>73</v>
      </c>
      <c r="BD537" t="s">
        <v>74</v>
      </c>
      <c r="BE537" t="s">
        <v>4988</v>
      </c>
      <c r="BF537" t="str">
        <f>HYPERLINK("http://dx.doi.org/10.5603/FHC.a2017.0010","http://dx.doi.org/10.5603/FHC.a2017.0010")</f>
        <v>http://dx.doi.org/10.5603/FHC.a2017.0010</v>
      </c>
      <c r="BG537" t="s">
        <v>74</v>
      </c>
      <c r="BH537" t="s">
        <v>74</v>
      </c>
      <c r="BI537" t="s">
        <v>74</v>
      </c>
      <c r="BJ537" t="s">
        <v>1493</v>
      </c>
      <c r="BK537" t="s">
        <v>112</v>
      </c>
      <c r="BL537" t="s">
        <v>1493</v>
      </c>
      <c r="BM537" t="s">
        <v>74</v>
      </c>
      <c r="BN537">
        <v>28636071</v>
      </c>
      <c r="BO537" t="s">
        <v>74</v>
      </c>
      <c r="BP537" t="s">
        <v>74</v>
      </c>
      <c r="BQ537" t="s">
        <v>74</v>
      </c>
      <c r="BR537" t="s">
        <v>93</v>
      </c>
      <c r="BS537" t="s">
        <v>4989</v>
      </c>
      <c r="BT537" t="str">
        <f>HYPERLINK("https%3A%2F%2Fwww.webofscience.com%2Fwos%2Fwoscc%2Ffull-record%2FWOS:000406232700003","View Full Record in Web of Science")</f>
        <v>View Full Record in Web of Science</v>
      </c>
    </row>
    <row r="538" spans="1:72" x14ac:dyDescent="0.15">
      <c r="A538" t="s">
        <v>72</v>
      </c>
      <c r="B538" t="s">
        <v>5577</v>
      </c>
      <c r="C538" t="s">
        <v>74</v>
      </c>
      <c r="D538" t="s">
        <v>74</v>
      </c>
      <c r="E538" t="s">
        <v>74</v>
      </c>
      <c r="F538" t="s">
        <v>5578</v>
      </c>
      <c r="G538" t="s">
        <v>74</v>
      </c>
      <c r="H538" t="s">
        <v>74</v>
      </c>
      <c r="I538" t="s">
        <v>5579</v>
      </c>
      <c r="J538" t="s">
        <v>2013</v>
      </c>
      <c r="K538" t="s">
        <v>74</v>
      </c>
      <c r="L538" t="s">
        <v>74</v>
      </c>
      <c r="M538" t="s">
        <v>74</v>
      </c>
      <c r="N538" t="s">
        <v>78</v>
      </c>
      <c r="O538" t="s">
        <v>74</v>
      </c>
      <c r="P538" t="s">
        <v>74</v>
      </c>
      <c r="Q538" t="s">
        <v>74</v>
      </c>
      <c r="R538" t="s">
        <v>74</v>
      </c>
      <c r="S538" t="s">
        <v>74</v>
      </c>
      <c r="T538" t="s">
        <v>74</v>
      </c>
      <c r="U538" t="s">
        <v>5580</v>
      </c>
      <c r="V538" t="s">
        <v>5581</v>
      </c>
      <c r="W538" t="s">
        <v>5582</v>
      </c>
      <c r="X538" t="s">
        <v>5583</v>
      </c>
      <c r="Y538" t="s">
        <v>5584</v>
      </c>
      <c r="Z538" t="s">
        <v>5585</v>
      </c>
      <c r="AA538" t="s">
        <v>74</v>
      </c>
      <c r="AB538" t="s">
        <v>5586</v>
      </c>
      <c r="AC538" t="s">
        <v>74</v>
      </c>
      <c r="AD538" t="s">
        <v>74</v>
      </c>
      <c r="AE538" t="s">
        <v>74</v>
      </c>
      <c r="AF538" t="s">
        <v>74</v>
      </c>
      <c r="AG538">
        <v>37</v>
      </c>
      <c r="AH538">
        <v>4</v>
      </c>
      <c r="AI538">
        <v>4</v>
      </c>
      <c r="AJ538">
        <v>6</v>
      </c>
      <c r="AK538">
        <v>20</v>
      </c>
      <c r="AL538" t="s">
        <v>74</v>
      </c>
      <c r="AM538" t="s">
        <v>74</v>
      </c>
      <c r="AN538" t="s">
        <v>74</v>
      </c>
      <c r="AO538" t="s">
        <v>2022</v>
      </c>
      <c r="AP538" t="s">
        <v>2023</v>
      </c>
      <c r="AQ538" t="s">
        <v>74</v>
      </c>
      <c r="AR538" t="s">
        <v>74</v>
      </c>
      <c r="AS538" t="s">
        <v>74</v>
      </c>
      <c r="AT538" t="s">
        <v>5587</v>
      </c>
      <c r="AU538">
        <v>2021</v>
      </c>
      <c r="AV538">
        <v>93</v>
      </c>
      <c r="AW538">
        <v>20</v>
      </c>
      <c r="AX538" t="s">
        <v>74</v>
      </c>
      <c r="AY538" t="s">
        <v>74</v>
      </c>
      <c r="AZ538" t="s">
        <v>74</v>
      </c>
      <c r="BA538" t="s">
        <v>74</v>
      </c>
      <c r="BB538">
        <v>7405</v>
      </c>
      <c r="BC538">
        <v>7412</v>
      </c>
      <c r="BD538" t="s">
        <v>74</v>
      </c>
      <c r="BE538" t="s">
        <v>5588</v>
      </c>
      <c r="BF538" t="str">
        <f>HYPERLINK("http://dx.doi.org/10.1021/acs.analchem.0c02107","http://dx.doi.org/10.1021/acs.analchem.0c02107")</f>
        <v>http://dx.doi.org/10.1021/acs.analchem.0c02107</v>
      </c>
      <c r="BG538" t="s">
        <v>74</v>
      </c>
      <c r="BH538" t="s">
        <v>1055</v>
      </c>
      <c r="BI538" t="s">
        <v>74</v>
      </c>
      <c r="BJ538" t="s">
        <v>1196</v>
      </c>
      <c r="BK538" t="s">
        <v>112</v>
      </c>
      <c r="BL538" t="s">
        <v>1197</v>
      </c>
      <c r="BM538" t="s">
        <v>74</v>
      </c>
      <c r="BN538">
        <v>33973465</v>
      </c>
      <c r="BO538" t="s">
        <v>74</v>
      </c>
      <c r="BP538" t="s">
        <v>74</v>
      </c>
      <c r="BQ538" t="s">
        <v>74</v>
      </c>
      <c r="BR538" t="s">
        <v>93</v>
      </c>
      <c r="BS538" t="s">
        <v>5589</v>
      </c>
      <c r="BT538" t="str">
        <f>HYPERLINK("https%3A%2F%2Fwww.webofscience.com%2Fwos%2Fwoscc%2Ffull-record%2FWOS:000656519500005","View Full Record in Web of Science")</f>
        <v>View Full Record in Web of Science</v>
      </c>
    </row>
    <row r="539" spans="1:72" x14ac:dyDescent="0.15">
      <c r="A539" t="s">
        <v>72</v>
      </c>
      <c r="B539" t="s">
        <v>6228</v>
      </c>
      <c r="C539" t="s">
        <v>74</v>
      </c>
      <c r="D539" t="s">
        <v>74</v>
      </c>
      <c r="E539" t="s">
        <v>74</v>
      </c>
      <c r="F539" t="s">
        <v>6229</v>
      </c>
      <c r="G539" t="s">
        <v>74</v>
      </c>
      <c r="H539" t="s">
        <v>74</v>
      </c>
      <c r="I539" t="s">
        <v>6230</v>
      </c>
      <c r="J539" t="s">
        <v>4054</v>
      </c>
      <c r="K539" t="s">
        <v>74</v>
      </c>
      <c r="L539" t="s">
        <v>74</v>
      </c>
      <c r="M539" t="s">
        <v>74</v>
      </c>
      <c r="N539" t="s">
        <v>78</v>
      </c>
      <c r="O539" t="s">
        <v>74</v>
      </c>
      <c r="P539" t="s">
        <v>74</v>
      </c>
      <c r="Q539" t="s">
        <v>74</v>
      </c>
      <c r="R539" t="s">
        <v>74</v>
      </c>
      <c r="S539" t="s">
        <v>74</v>
      </c>
      <c r="T539" t="s">
        <v>6231</v>
      </c>
      <c r="U539" t="s">
        <v>74</v>
      </c>
      <c r="V539" t="s">
        <v>6232</v>
      </c>
      <c r="W539" t="s">
        <v>6233</v>
      </c>
      <c r="X539" t="s">
        <v>4542</v>
      </c>
      <c r="Y539" t="s">
        <v>6234</v>
      </c>
      <c r="Z539" t="s">
        <v>4544</v>
      </c>
      <c r="AA539" t="s">
        <v>74</v>
      </c>
      <c r="AB539" t="s">
        <v>6235</v>
      </c>
      <c r="AC539" t="s">
        <v>74</v>
      </c>
      <c r="AD539" t="s">
        <v>74</v>
      </c>
      <c r="AE539" t="s">
        <v>74</v>
      </c>
      <c r="AF539" t="s">
        <v>74</v>
      </c>
      <c r="AG539">
        <v>30</v>
      </c>
      <c r="AH539">
        <v>4</v>
      </c>
      <c r="AI539">
        <v>4</v>
      </c>
      <c r="AJ539">
        <v>0</v>
      </c>
      <c r="AK539">
        <v>2</v>
      </c>
      <c r="AL539" t="s">
        <v>74</v>
      </c>
      <c r="AM539" t="s">
        <v>74</v>
      </c>
      <c r="AN539" t="s">
        <v>74</v>
      </c>
      <c r="AO539" t="s">
        <v>74</v>
      </c>
      <c r="AP539" t="s">
        <v>4061</v>
      </c>
      <c r="AQ539" t="s">
        <v>74</v>
      </c>
      <c r="AR539" t="s">
        <v>74</v>
      </c>
      <c r="AS539" t="s">
        <v>74</v>
      </c>
      <c r="AT539" t="s">
        <v>1679</v>
      </c>
      <c r="AU539">
        <v>2021</v>
      </c>
      <c r="AV539">
        <v>21</v>
      </c>
      <c r="AW539">
        <v>1</v>
      </c>
      <c r="AX539" t="s">
        <v>74</v>
      </c>
      <c r="AY539" t="s">
        <v>74</v>
      </c>
      <c r="AZ539" t="s">
        <v>74</v>
      </c>
      <c r="BA539" t="s">
        <v>74</v>
      </c>
      <c r="BB539" t="s">
        <v>74</v>
      </c>
      <c r="BC539" t="s">
        <v>74</v>
      </c>
      <c r="BD539">
        <v>50</v>
      </c>
      <c r="BE539" t="s">
        <v>6236</v>
      </c>
      <c r="BF539" t="str">
        <f>HYPERLINK("http://dx.doi.org/10.1186/s12935-021-01761-x","http://dx.doi.org/10.1186/s12935-021-01761-x")</f>
        <v>http://dx.doi.org/10.1186/s12935-021-01761-x</v>
      </c>
      <c r="BG539" t="s">
        <v>74</v>
      </c>
      <c r="BH539" t="s">
        <v>74</v>
      </c>
      <c r="BI539" t="s">
        <v>74</v>
      </c>
      <c r="BJ539" t="s">
        <v>146</v>
      </c>
      <c r="BK539" t="s">
        <v>112</v>
      </c>
      <c r="BL539" t="s">
        <v>146</v>
      </c>
      <c r="BM539" t="s">
        <v>74</v>
      </c>
      <c r="BN539">
        <v>33435996</v>
      </c>
      <c r="BO539" t="s">
        <v>74</v>
      </c>
      <c r="BP539" t="s">
        <v>74</v>
      </c>
      <c r="BQ539" t="s">
        <v>74</v>
      </c>
      <c r="BR539" t="s">
        <v>93</v>
      </c>
      <c r="BS539" t="s">
        <v>6237</v>
      </c>
      <c r="BT539" t="str">
        <f>HYPERLINK("https%3A%2F%2Fwww.webofscience.com%2Fwos%2Fwoscc%2Ffull-record%2FWOS:000609505200003","View Full Record in Web of Science")</f>
        <v>View Full Record in Web of Science</v>
      </c>
    </row>
    <row r="540" spans="1:72" x14ac:dyDescent="0.15">
      <c r="A540" t="s">
        <v>72</v>
      </c>
      <c r="B540" t="s">
        <v>6568</v>
      </c>
      <c r="C540" t="s">
        <v>74</v>
      </c>
      <c r="D540" t="s">
        <v>74</v>
      </c>
      <c r="E540" t="s">
        <v>74</v>
      </c>
      <c r="F540" t="s">
        <v>6569</v>
      </c>
      <c r="G540" t="s">
        <v>74</v>
      </c>
      <c r="H540" t="s">
        <v>74</v>
      </c>
      <c r="I540" t="s">
        <v>6570</v>
      </c>
      <c r="J540" t="s">
        <v>992</v>
      </c>
      <c r="K540" t="s">
        <v>74</v>
      </c>
      <c r="L540" t="s">
        <v>74</v>
      </c>
      <c r="M540" t="s">
        <v>74</v>
      </c>
      <c r="N540" t="s">
        <v>78</v>
      </c>
      <c r="O540" t="s">
        <v>74</v>
      </c>
      <c r="P540" t="s">
        <v>74</v>
      </c>
      <c r="Q540" t="s">
        <v>74</v>
      </c>
      <c r="R540" t="s">
        <v>74</v>
      </c>
      <c r="S540" t="s">
        <v>74</v>
      </c>
      <c r="T540" t="s">
        <v>6571</v>
      </c>
      <c r="U540" t="s">
        <v>6572</v>
      </c>
      <c r="V540" t="s">
        <v>6573</v>
      </c>
      <c r="W540" t="s">
        <v>6574</v>
      </c>
      <c r="X540" t="s">
        <v>6575</v>
      </c>
      <c r="Y540" t="s">
        <v>6576</v>
      </c>
      <c r="Z540" t="s">
        <v>6577</v>
      </c>
      <c r="AA540" t="s">
        <v>6578</v>
      </c>
      <c r="AB540" t="s">
        <v>6579</v>
      </c>
      <c r="AC540" t="s">
        <v>74</v>
      </c>
      <c r="AD540" t="s">
        <v>74</v>
      </c>
      <c r="AE540" t="s">
        <v>74</v>
      </c>
      <c r="AF540" t="s">
        <v>74</v>
      </c>
      <c r="AG540">
        <v>38</v>
      </c>
      <c r="AH540">
        <v>4</v>
      </c>
      <c r="AI540">
        <v>3</v>
      </c>
      <c r="AJ540">
        <v>54</v>
      </c>
      <c r="AK540">
        <v>64</v>
      </c>
      <c r="AL540" t="s">
        <v>74</v>
      </c>
      <c r="AM540" t="s">
        <v>74</v>
      </c>
      <c r="AN540" t="s">
        <v>74</v>
      </c>
      <c r="AO540" t="s">
        <v>1001</v>
      </c>
      <c r="AP540" t="s">
        <v>1002</v>
      </c>
      <c r="AQ540" t="s">
        <v>74</v>
      </c>
      <c r="AR540" t="s">
        <v>74</v>
      </c>
      <c r="AS540" t="s">
        <v>74</v>
      </c>
      <c r="AT540" t="s">
        <v>3885</v>
      </c>
      <c r="AU540">
        <v>2022</v>
      </c>
      <c r="AV540">
        <v>199</v>
      </c>
      <c r="AW540" t="s">
        <v>74</v>
      </c>
      <c r="AX540" t="s">
        <v>74</v>
      </c>
      <c r="AY540" t="s">
        <v>74</v>
      </c>
      <c r="AZ540" t="s">
        <v>74</v>
      </c>
      <c r="BA540" t="s">
        <v>74</v>
      </c>
      <c r="BB540" t="s">
        <v>74</v>
      </c>
      <c r="BC540" t="s">
        <v>74</v>
      </c>
      <c r="BD540">
        <v>113872</v>
      </c>
      <c r="BE540" t="s">
        <v>6580</v>
      </c>
      <c r="BF540" t="str">
        <f>HYPERLINK("http://dx.doi.org/10.1016/j.bios.2021.113872","http://dx.doi.org/10.1016/j.bios.2021.113872")</f>
        <v>http://dx.doi.org/10.1016/j.bios.2021.113872</v>
      </c>
      <c r="BG540" t="s">
        <v>74</v>
      </c>
      <c r="BH540" t="s">
        <v>74</v>
      </c>
      <c r="BI540" t="s">
        <v>74</v>
      </c>
      <c r="BJ540" t="s">
        <v>1006</v>
      </c>
      <c r="BK540" t="s">
        <v>112</v>
      </c>
      <c r="BL540" t="s">
        <v>1007</v>
      </c>
      <c r="BM540" t="s">
        <v>74</v>
      </c>
      <c r="BN540">
        <v>34902643</v>
      </c>
      <c r="BO540" t="s">
        <v>74</v>
      </c>
      <c r="BP540" t="s">
        <v>74</v>
      </c>
      <c r="BQ540" t="s">
        <v>74</v>
      </c>
      <c r="BR540" t="s">
        <v>93</v>
      </c>
      <c r="BS540" t="s">
        <v>6581</v>
      </c>
      <c r="BT540" t="str">
        <f>HYPERLINK("https%3A%2F%2Fwww.webofscience.com%2Fwos%2Fwoscc%2Ffull-record%2FWOS:000782663000003","View Full Record in Web of Science")</f>
        <v>View Full Record in Web of Science</v>
      </c>
    </row>
    <row r="541" spans="1:72" x14ac:dyDescent="0.15">
      <c r="A541" t="s">
        <v>72</v>
      </c>
      <c r="B541" t="s">
        <v>7009</v>
      </c>
      <c r="C541" t="s">
        <v>74</v>
      </c>
      <c r="D541" t="s">
        <v>74</v>
      </c>
      <c r="E541" t="s">
        <v>74</v>
      </c>
      <c r="F541" t="s">
        <v>7010</v>
      </c>
      <c r="G541" t="s">
        <v>74</v>
      </c>
      <c r="H541" t="s">
        <v>74</v>
      </c>
      <c r="I541" t="s">
        <v>7011</v>
      </c>
      <c r="J541" t="s">
        <v>3849</v>
      </c>
      <c r="K541" t="s">
        <v>74</v>
      </c>
      <c r="L541" t="s">
        <v>74</v>
      </c>
      <c r="M541" t="s">
        <v>74</v>
      </c>
      <c r="N541" t="s">
        <v>78</v>
      </c>
      <c r="O541" t="s">
        <v>74</v>
      </c>
      <c r="P541" t="s">
        <v>74</v>
      </c>
      <c r="Q541" t="s">
        <v>74</v>
      </c>
      <c r="R541" t="s">
        <v>74</v>
      </c>
      <c r="S541" t="s">
        <v>74</v>
      </c>
      <c r="T541" t="s">
        <v>7012</v>
      </c>
      <c r="U541" t="s">
        <v>7013</v>
      </c>
      <c r="V541" t="s">
        <v>7014</v>
      </c>
      <c r="W541" t="s">
        <v>7015</v>
      </c>
      <c r="X541" t="s">
        <v>7016</v>
      </c>
      <c r="Y541" t="s">
        <v>7017</v>
      </c>
      <c r="Z541" t="s">
        <v>7018</v>
      </c>
      <c r="AA541" t="s">
        <v>7019</v>
      </c>
      <c r="AB541" t="s">
        <v>7020</v>
      </c>
      <c r="AC541" t="s">
        <v>74</v>
      </c>
      <c r="AD541" t="s">
        <v>74</v>
      </c>
      <c r="AE541" t="s">
        <v>74</v>
      </c>
      <c r="AF541" t="s">
        <v>74</v>
      </c>
      <c r="AG541">
        <v>69</v>
      </c>
      <c r="AH541">
        <v>4</v>
      </c>
      <c r="AI541">
        <v>4</v>
      </c>
      <c r="AJ541">
        <v>7</v>
      </c>
      <c r="AK541">
        <v>43</v>
      </c>
      <c r="AL541" t="s">
        <v>74</v>
      </c>
      <c r="AM541" t="s">
        <v>74</v>
      </c>
      <c r="AN541" t="s">
        <v>74</v>
      </c>
      <c r="AO541" t="s">
        <v>3857</v>
      </c>
      <c r="AP541" t="s">
        <v>3858</v>
      </c>
      <c r="AQ541" t="s">
        <v>74</v>
      </c>
      <c r="AR541" t="s">
        <v>74</v>
      </c>
      <c r="AS541" t="s">
        <v>74</v>
      </c>
      <c r="AT541" t="s">
        <v>88</v>
      </c>
      <c r="AU541">
        <v>2021</v>
      </c>
      <c r="AV541">
        <v>17</v>
      </c>
      <c r="AW541">
        <v>23</v>
      </c>
      <c r="AX541" t="s">
        <v>74</v>
      </c>
      <c r="AY541" t="s">
        <v>74</v>
      </c>
      <c r="AZ541" t="s">
        <v>74</v>
      </c>
      <c r="BA541" t="s">
        <v>74</v>
      </c>
      <c r="BB541" t="s">
        <v>74</v>
      </c>
      <c r="BC541" t="s">
        <v>74</v>
      </c>
      <c r="BD541">
        <v>2100797</v>
      </c>
      <c r="BE541" t="s">
        <v>7021</v>
      </c>
      <c r="BF541" t="str">
        <f>HYPERLINK("http://dx.doi.org/10.1002/smll.202100797","http://dx.doi.org/10.1002/smll.202100797")</f>
        <v>http://dx.doi.org/10.1002/smll.202100797</v>
      </c>
      <c r="BG541" t="s">
        <v>74</v>
      </c>
      <c r="BH541" t="s">
        <v>1055</v>
      </c>
      <c r="BI541" t="s">
        <v>74</v>
      </c>
      <c r="BJ541" t="s">
        <v>2496</v>
      </c>
      <c r="BK541" t="s">
        <v>112</v>
      </c>
      <c r="BL541" t="s">
        <v>2124</v>
      </c>
      <c r="BM541" t="s">
        <v>74</v>
      </c>
      <c r="BN541">
        <v>33978996</v>
      </c>
      <c r="BO541" t="s">
        <v>74</v>
      </c>
      <c r="BP541" t="s">
        <v>74</v>
      </c>
      <c r="BQ541" t="s">
        <v>74</v>
      </c>
      <c r="BR541" t="s">
        <v>93</v>
      </c>
      <c r="BS541" t="s">
        <v>7022</v>
      </c>
      <c r="BT541" t="str">
        <f>HYPERLINK("https%3A%2F%2Fwww.webofscience.com%2Fwos%2Fwoscc%2Ffull-record%2FWOS:000649400300001","View Full Record in Web of Science")</f>
        <v>View Full Record in Web of Science</v>
      </c>
    </row>
    <row r="542" spans="1:72" x14ac:dyDescent="0.15">
      <c r="A542" t="s">
        <v>72</v>
      </c>
      <c r="B542" t="s">
        <v>7258</v>
      </c>
      <c r="C542" t="s">
        <v>74</v>
      </c>
      <c r="D542" t="s">
        <v>74</v>
      </c>
      <c r="E542" t="s">
        <v>74</v>
      </c>
      <c r="F542" t="s">
        <v>7258</v>
      </c>
      <c r="G542" t="s">
        <v>74</v>
      </c>
      <c r="H542" t="s">
        <v>74</v>
      </c>
      <c r="I542" t="s">
        <v>7259</v>
      </c>
      <c r="J542" t="s">
        <v>7260</v>
      </c>
      <c r="K542" t="s">
        <v>74</v>
      </c>
      <c r="L542" t="s">
        <v>74</v>
      </c>
      <c r="M542" t="s">
        <v>74</v>
      </c>
      <c r="N542" t="s">
        <v>78</v>
      </c>
      <c r="O542" t="s">
        <v>74</v>
      </c>
      <c r="P542" t="s">
        <v>74</v>
      </c>
      <c r="Q542" t="s">
        <v>74</v>
      </c>
      <c r="R542" t="s">
        <v>74</v>
      </c>
      <c r="S542" t="s">
        <v>74</v>
      </c>
      <c r="T542" t="s">
        <v>7261</v>
      </c>
      <c r="U542" t="s">
        <v>7262</v>
      </c>
      <c r="V542" t="s">
        <v>7263</v>
      </c>
      <c r="W542" t="s">
        <v>74</v>
      </c>
      <c r="X542" t="s">
        <v>74</v>
      </c>
      <c r="Y542" t="s">
        <v>7264</v>
      </c>
      <c r="Z542" t="s">
        <v>74</v>
      </c>
      <c r="AA542" t="s">
        <v>74</v>
      </c>
      <c r="AB542" t="s">
        <v>7265</v>
      </c>
      <c r="AC542" t="s">
        <v>74</v>
      </c>
      <c r="AD542" t="s">
        <v>74</v>
      </c>
      <c r="AE542" t="s">
        <v>74</v>
      </c>
      <c r="AF542" t="s">
        <v>74</v>
      </c>
      <c r="AG542">
        <v>17</v>
      </c>
      <c r="AH542">
        <v>4</v>
      </c>
      <c r="AI542">
        <v>4</v>
      </c>
      <c r="AJ542">
        <v>0</v>
      </c>
      <c r="AK542">
        <v>2</v>
      </c>
      <c r="AL542" t="s">
        <v>74</v>
      </c>
      <c r="AM542" t="s">
        <v>74</v>
      </c>
      <c r="AN542" t="s">
        <v>74</v>
      </c>
      <c r="AO542" t="s">
        <v>7266</v>
      </c>
      <c r="AP542" t="s">
        <v>74</v>
      </c>
      <c r="AQ542" t="s">
        <v>74</v>
      </c>
      <c r="AR542" t="s">
        <v>74</v>
      </c>
      <c r="AS542" t="s">
        <v>74</v>
      </c>
      <c r="AT542" t="s">
        <v>7267</v>
      </c>
      <c r="AU542">
        <v>1995</v>
      </c>
      <c r="AV542">
        <v>186</v>
      </c>
      <c r="AW542">
        <v>1</v>
      </c>
      <c r="AX542" t="s">
        <v>74</v>
      </c>
      <c r="AY542" t="s">
        <v>74</v>
      </c>
      <c r="AZ542" t="s">
        <v>74</v>
      </c>
      <c r="BA542" t="s">
        <v>74</v>
      </c>
      <c r="BB542">
        <v>65</v>
      </c>
      <c r="BC542">
        <v>70</v>
      </c>
      <c r="BD542" t="s">
        <v>74</v>
      </c>
      <c r="BE542" t="s">
        <v>7268</v>
      </c>
      <c r="BF542" t="str">
        <f>HYPERLINK("http://dx.doi.org/10.1016/0022-1759(95)00134-V","http://dx.doi.org/10.1016/0022-1759(95)00134-V")</f>
        <v>http://dx.doi.org/10.1016/0022-1759(95)00134-V</v>
      </c>
      <c r="BG542" t="s">
        <v>74</v>
      </c>
      <c r="BH542" t="s">
        <v>74</v>
      </c>
      <c r="BI542" t="s">
        <v>74</v>
      </c>
      <c r="BJ542" t="s">
        <v>7269</v>
      </c>
      <c r="BK542" t="s">
        <v>112</v>
      </c>
      <c r="BL542" t="s">
        <v>1731</v>
      </c>
      <c r="BM542" t="s">
        <v>74</v>
      </c>
      <c r="BN542">
        <v>7561149</v>
      </c>
      <c r="BO542" t="s">
        <v>74</v>
      </c>
      <c r="BP542" t="s">
        <v>74</v>
      </c>
      <c r="BQ542" t="s">
        <v>74</v>
      </c>
      <c r="BR542" t="s">
        <v>93</v>
      </c>
      <c r="BS542" t="s">
        <v>7270</v>
      </c>
      <c r="BT542" t="str">
        <f>HYPERLINK("https%3A%2F%2Fwww.webofscience.com%2Fwos%2Fwoscc%2Ffull-record%2FWOS:A1995TA53200007","View Full Record in Web of Science")</f>
        <v>View Full Record in Web of Science</v>
      </c>
    </row>
    <row r="543" spans="1:72" x14ac:dyDescent="0.15">
      <c r="A543" t="s">
        <v>72</v>
      </c>
      <c r="B543" t="s">
        <v>8540</v>
      </c>
      <c r="C543" t="s">
        <v>74</v>
      </c>
      <c r="D543" t="s">
        <v>74</v>
      </c>
      <c r="E543" t="s">
        <v>74</v>
      </c>
      <c r="F543" t="s">
        <v>8541</v>
      </c>
      <c r="G543" t="s">
        <v>74</v>
      </c>
      <c r="H543" t="s">
        <v>74</v>
      </c>
      <c r="I543" t="s">
        <v>8542</v>
      </c>
      <c r="J543" t="s">
        <v>1871</v>
      </c>
      <c r="K543" t="s">
        <v>74</v>
      </c>
      <c r="L543" t="s">
        <v>74</v>
      </c>
      <c r="M543" t="s">
        <v>74</v>
      </c>
      <c r="N543" t="s">
        <v>78</v>
      </c>
      <c r="O543" t="s">
        <v>74</v>
      </c>
      <c r="P543" t="s">
        <v>74</v>
      </c>
      <c r="Q543" t="s">
        <v>74</v>
      </c>
      <c r="R543" t="s">
        <v>74</v>
      </c>
      <c r="S543" t="s">
        <v>74</v>
      </c>
      <c r="T543" t="s">
        <v>8543</v>
      </c>
      <c r="U543" t="s">
        <v>8544</v>
      </c>
      <c r="V543" t="s">
        <v>8545</v>
      </c>
      <c r="W543" t="s">
        <v>8546</v>
      </c>
      <c r="X543" t="s">
        <v>8547</v>
      </c>
      <c r="Y543" t="s">
        <v>8548</v>
      </c>
      <c r="Z543" t="s">
        <v>8549</v>
      </c>
      <c r="AA543" t="s">
        <v>8550</v>
      </c>
      <c r="AB543" t="s">
        <v>8551</v>
      </c>
      <c r="AC543" t="s">
        <v>74</v>
      </c>
      <c r="AD543" t="s">
        <v>74</v>
      </c>
      <c r="AE543" t="s">
        <v>74</v>
      </c>
      <c r="AF543" t="s">
        <v>74</v>
      </c>
      <c r="AG543">
        <v>170</v>
      </c>
      <c r="AH543">
        <v>4</v>
      </c>
      <c r="AI543">
        <v>4</v>
      </c>
      <c r="AJ543">
        <v>0</v>
      </c>
      <c r="AK543">
        <v>1</v>
      </c>
      <c r="AL543" t="s">
        <v>74</v>
      </c>
      <c r="AM543" t="s">
        <v>74</v>
      </c>
      <c r="AN543" t="s">
        <v>74</v>
      </c>
      <c r="AO543" t="s">
        <v>74</v>
      </c>
      <c r="AP543" t="s">
        <v>1881</v>
      </c>
      <c r="AQ543" t="s">
        <v>74</v>
      </c>
      <c r="AR543" t="s">
        <v>74</v>
      </c>
      <c r="AS543" t="s">
        <v>74</v>
      </c>
      <c r="AT543" t="s">
        <v>818</v>
      </c>
      <c r="AU543">
        <v>2020</v>
      </c>
      <c r="AV543">
        <v>12</v>
      </c>
      <c r="AW543">
        <v>8</v>
      </c>
      <c r="AX543" t="s">
        <v>74</v>
      </c>
      <c r="AY543" t="s">
        <v>74</v>
      </c>
      <c r="AZ543" t="s">
        <v>74</v>
      </c>
      <c r="BA543" t="s">
        <v>74</v>
      </c>
      <c r="BB543" t="s">
        <v>74</v>
      </c>
      <c r="BC543" t="s">
        <v>74</v>
      </c>
      <c r="BD543">
        <v>885</v>
      </c>
      <c r="BE543" t="s">
        <v>8552</v>
      </c>
      <c r="BF543" t="str">
        <f>HYPERLINK("http://dx.doi.org/10.3390/v12080885","http://dx.doi.org/10.3390/v12080885")</f>
        <v>http://dx.doi.org/10.3390/v12080885</v>
      </c>
      <c r="BG543" t="s">
        <v>74</v>
      </c>
      <c r="BH543" t="s">
        <v>74</v>
      </c>
      <c r="BI543" t="s">
        <v>74</v>
      </c>
      <c r="BJ543" t="s">
        <v>401</v>
      </c>
      <c r="BK543" t="s">
        <v>112</v>
      </c>
      <c r="BL543" t="s">
        <v>401</v>
      </c>
      <c r="BM543" t="s">
        <v>74</v>
      </c>
      <c r="BN543">
        <v>32823598</v>
      </c>
      <c r="BO543" t="s">
        <v>74</v>
      </c>
      <c r="BP543" t="s">
        <v>74</v>
      </c>
      <c r="BQ543" t="s">
        <v>74</v>
      </c>
      <c r="BR543" t="s">
        <v>93</v>
      </c>
      <c r="BS543" t="s">
        <v>8553</v>
      </c>
      <c r="BT543" t="str">
        <f>HYPERLINK("https%3A%2F%2Fwww.webofscience.com%2Fwos%2Fwoscc%2Ffull-record%2FWOS:000578980600001","View Full Record in Web of Science")</f>
        <v>View Full Record in Web of Science</v>
      </c>
    </row>
    <row r="544" spans="1:72" x14ac:dyDescent="0.15">
      <c r="A544" t="s">
        <v>72</v>
      </c>
      <c r="B544" t="s">
        <v>9298</v>
      </c>
      <c r="C544" t="s">
        <v>74</v>
      </c>
      <c r="D544" t="s">
        <v>74</v>
      </c>
      <c r="E544" t="s">
        <v>74</v>
      </c>
      <c r="F544" t="s">
        <v>9299</v>
      </c>
      <c r="G544" t="s">
        <v>74</v>
      </c>
      <c r="H544" t="s">
        <v>74</v>
      </c>
      <c r="I544" t="s">
        <v>9300</v>
      </c>
      <c r="J544" t="s">
        <v>9301</v>
      </c>
      <c r="K544" t="s">
        <v>74</v>
      </c>
      <c r="L544" t="s">
        <v>74</v>
      </c>
      <c r="M544" t="s">
        <v>74</v>
      </c>
      <c r="N544" t="s">
        <v>78</v>
      </c>
      <c r="O544" t="s">
        <v>74</v>
      </c>
      <c r="P544" t="s">
        <v>74</v>
      </c>
      <c r="Q544" t="s">
        <v>74</v>
      </c>
      <c r="R544" t="s">
        <v>74</v>
      </c>
      <c r="S544" t="s">
        <v>74</v>
      </c>
      <c r="T544" t="s">
        <v>74</v>
      </c>
      <c r="U544" t="s">
        <v>9302</v>
      </c>
      <c r="V544" t="s">
        <v>9303</v>
      </c>
      <c r="W544" t="s">
        <v>9304</v>
      </c>
      <c r="X544" t="s">
        <v>9305</v>
      </c>
      <c r="Y544" t="s">
        <v>9306</v>
      </c>
      <c r="Z544" t="s">
        <v>9307</v>
      </c>
      <c r="AA544" t="s">
        <v>74</v>
      </c>
      <c r="AB544" t="s">
        <v>9308</v>
      </c>
      <c r="AC544" t="s">
        <v>74</v>
      </c>
      <c r="AD544" t="s">
        <v>74</v>
      </c>
      <c r="AE544" t="s">
        <v>74</v>
      </c>
      <c r="AF544" t="s">
        <v>74</v>
      </c>
      <c r="AG544">
        <v>35</v>
      </c>
      <c r="AH544">
        <v>4</v>
      </c>
      <c r="AI544">
        <v>4</v>
      </c>
      <c r="AJ544">
        <v>0</v>
      </c>
      <c r="AK544">
        <v>4</v>
      </c>
      <c r="AL544" t="s">
        <v>74</v>
      </c>
      <c r="AM544" t="s">
        <v>74</v>
      </c>
      <c r="AN544" t="s">
        <v>74</v>
      </c>
      <c r="AO544" t="s">
        <v>9309</v>
      </c>
      <c r="AP544" t="s">
        <v>9310</v>
      </c>
      <c r="AQ544" t="s">
        <v>74</v>
      </c>
      <c r="AR544" t="s">
        <v>74</v>
      </c>
      <c r="AS544" t="s">
        <v>74</v>
      </c>
      <c r="AT544" t="s">
        <v>743</v>
      </c>
      <c r="AU544">
        <v>2014</v>
      </c>
      <c r="AV544">
        <v>34</v>
      </c>
      <c r="AW544">
        <v>3</v>
      </c>
      <c r="AX544" t="s">
        <v>74</v>
      </c>
      <c r="AY544" t="s">
        <v>74</v>
      </c>
      <c r="AZ544" t="s">
        <v>74</v>
      </c>
      <c r="BA544" t="s">
        <v>74</v>
      </c>
      <c r="BB544">
        <v>251</v>
      </c>
      <c r="BC544">
        <v>258</v>
      </c>
      <c r="BD544" t="s">
        <v>74</v>
      </c>
      <c r="BE544" t="s">
        <v>9311</v>
      </c>
      <c r="BF544" t="str">
        <f>HYPERLINK("http://dx.doi.org/10.1002/pd.4300","http://dx.doi.org/10.1002/pd.4300")</f>
        <v>http://dx.doi.org/10.1002/pd.4300</v>
      </c>
      <c r="BG544" t="s">
        <v>74</v>
      </c>
      <c r="BH544" t="s">
        <v>74</v>
      </c>
      <c r="BI544" t="s">
        <v>74</v>
      </c>
      <c r="BJ544" t="s">
        <v>9312</v>
      </c>
      <c r="BK544" t="s">
        <v>112</v>
      </c>
      <c r="BL544" t="s">
        <v>9312</v>
      </c>
      <c r="BM544" t="s">
        <v>74</v>
      </c>
      <c r="BN544">
        <v>24352757</v>
      </c>
      <c r="BO544" t="s">
        <v>74</v>
      </c>
      <c r="BP544" t="s">
        <v>74</v>
      </c>
      <c r="BQ544" t="s">
        <v>74</v>
      </c>
      <c r="BR544" t="s">
        <v>93</v>
      </c>
      <c r="BS544" t="s">
        <v>9313</v>
      </c>
      <c r="BT544" t="str">
        <f>HYPERLINK("https%3A%2F%2Fwww.webofscience.com%2Fwos%2Fwoscc%2Ffull-record%2FWOS:000333020300008","View Full Record in Web of Science")</f>
        <v>View Full Record in Web of Science</v>
      </c>
    </row>
    <row r="545" spans="1:72" x14ac:dyDescent="0.15">
      <c r="A545" t="s">
        <v>72</v>
      </c>
      <c r="B545" t="s">
        <v>9924</v>
      </c>
      <c r="C545" t="s">
        <v>74</v>
      </c>
      <c r="D545" t="s">
        <v>74</v>
      </c>
      <c r="E545" t="s">
        <v>74</v>
      </c>
      <c r="F545" t="s">
        <v>9925</v>
      </c>
      <c r="G545" t="s">
        <v>74</v>
      </c>
      <c r="H545" t="s">
        <v>74</v>
      </c>
      <c r="I545" t="s">
        <v>9926</v>
      </c>
      <c r="J545" t="s">
        <v>568</v>
      </c>
      <c r="K545" t="s">
        <v>74</v>
      </c>
      <c r="L545" t="s">
        <v>74</v>
      </c>
      <c r="M545" t="s">
        <v>74</v>
      </c>
      <c r="N545" t="s">
        <v>78</v>
      </c>
      <c r="O545" t="s">
        <v>74</v>
      </c>
      <c r="P545" t="s">
        <v>74</v>
      </c>
      <c r="Q545" t="s">
        <v>74</v>
      </c>
      <c r="R545" t="s">
        <v>74</v>
      </c>
      <c r="S545" t="s">
        <v>74</v>
      </c>
      <c r="T545" t="s">
        <v>74</v>
      </c>
      <c r="U545" t="s">
        <v>9927</v>
      </c>
      <c r="V545" t="s">
        <v>9928</v>
      </c>
      <c r="W545" t="s">
        <v>9929</v>
      </c>
      <c r="X545" t="s">
        <v>9930</v>
      </c>
      <c r="Y545" t="s">
        <v>9931</v>
      </c>
      <c r="Z545" t="s">
        <v>9932</v>
      </c>
      <c r="AA545" t="s">
        <v>9933</v>
      </c>
      <c r="AB545" t="s">
        <v>9934</v>
      </c>
      <c r="AC545" t="s">
        <v>74</v>
      </c>
      <c r="AD545" t="s">
        <v>74</v>
      </c>
      <c r="AE545" t="s">
        <v>74</v>
      </c>
      <c r="AF545" t="s">
        <v>74</v>
      </c>
      <c r="AG545">
        <v>33</v>
      </c>
      <c r="AH545">
        <v>4</v>
      </c>
      <c r="AI545">
        <v>4</v>
      </c>
      <c r="AJ545">
        <v>0</v>
      </c>
      <c r="AK545">
        <v>0</v>
      </c>
      <c r="AL545" t="s">
        <v>74</v>
      </c>
      <c r="AM545" t="s">
        <v>74</v>
      </c>
      <c r="AN545" t="s">
        <v>74</v>
      </c>
      <c r="AO545" t="s">
        <v>577</v>
      </c>
      <c r="AP545" t="s">
        <v>74</v>
      </c>
      <c r="AQ545" t="s">
        <v>74</v>
      </c>
      <c r="AR545" t="s">
        <v>74</v>
      </c>
      <c r="AS545" t="s">
        <v>74</v>
      </c>
      <c r="AT545" t="s">
        <v>5286</v>
      </c>
      <c r="AU545">
        <v>2020</v>
      </c>
      <c r="AV545">
        <v>15</v>
      </c>
      <c r="AW545">
        <v>8</v>
      </c>
      <c r="AX545" t="s">
        <v>74</v>
      </c>
      <c r="AY545" t="s">
        <v>74</v>
      </c>
      <c r="AZ545" t="s">
        <v>74</v>
      </c>
      <c r="BA545" t="s">
        <v>74</v>
      </c>
      <c r="BB545" t="s">
        <v>74</v>
      </c>
      <c r="BC545" t="s">
        <v>74</v>
      </c>
      <c r="BD545" t="s">
        <v>9935</v>
      </c>
      <c r="BE545" t="s">
        <v>9936</v>
      </c>
      <c r="BF545" t="str">
        <f>HYPERLINK("http://dx.doi.org/10.1371/journal.pone.0236228","http://dx.doi.org/10.1371/journal.pone.0236228")</f>
        <v>http://dx.doi.org/10.1371/journal.pone.0236228</v>
      </c>
      <c r="BG545" t="s">
        <v>74</v>
      </c>
      <c r="BH545" t="s">
        <v>74</v>
      </c>
      <c r="BI545" t="s">
        <v>74</v>
      </c>
      <c r="BJ545" t="s">
        <v>545</v>
      </c>
      <c r="BK545" t="s">
        <v>112</v>
      </c>
      <c r="BL545" t="s">
        <v>546</v>
      </c>
      <c r="BM545" t="s">
        <v>74</v>
      </c>
      <c r="BN545">
        <v>32866177</v>
      </c>
      <c r="BO545" t="s">
        <v>74</v>
      </c>
      <c r="BP545" t="s">
        <v>74</v>
      </c>
      <c r="BQ545" t="s">
        <v>74</v>
      </c>
      <c r="BR545" t="s">
        <v>93</v>
      </c>
      <c r="BS545" t="s">
        <v>9937</v>
      </c>
      <c r="BT545" t="str">
        <f>HYPERLINK("https%3A%2F%2Fwww.webofscience.com%2Fwos%2Fwoscc%2Ffull-record%2FWOS:000567946300023","View Full Record in Web of Science")</f>
        <v>View Full Record in Web of Science</v>
      </c>
    </row>
    <row r="546" spans="1:72" x14ac:dyDescent="0.15">
      <c r="A546" t="s">
        <v>72</v>
      </c>
      <c r="B546" t="s">
        <v>10136</v>
      </c>
      <c r="C546" t="s">
        <v>74</v>
      </c>
      <c r="D546" t="s">
        <v>74</v>
      </c>
      <c r="E546" t="s">
        <v>74</v>
      </c>
      <c r="F546" t="s">
        <v>10137</v>
      </c>
      <c r="G546" t="s">
        <v>74</v>
      </c>
      <c r="H546" t="s">
        <v>74</v>
      </c>
      <c r="I546" t="s">
        <v>10138</v>
      </c>
      <c r="J546" t="s">
        <v>10139</v>
      </c>
      <c r="K546" t="s">
        <v>74</v>
      </c>
      <c r="L546" t="s">
        <v>74</v>
      </c>
      <c r="M546" t="s">
        <v>74</v>
      </c>
      <c r="N546" t="s">
        <v>78</v>
      </c>
      <c r="O546" t="s">
        <v>74</v>
      </c>
      <c r="P546" t="s">
        <v>74</v>
      </c>
      <c r="Q546" t="s">
        <v>74</v>
      </c>
      <c r="R546" t="s">
        <v>74</v>
      </c>
      <c r="S546" t="s">
        <v>74</v>
      </c>
      <c r="T546" t="s">
        <v>10140</v>
      </c>
      <c r="U546" t="s">
        <v>10141</v>
      </c>
      <c r="V546" t="s">
        <v>10142</v>
      </c>
      <c r="W546" t="s">
        <v>10143</v>
      </c>
      <c r="X546" t="s">
        <v>10144</v>
      </c>
      <c r="Y546" t="s">
        <v>10145</v>
      </c>
      <c r="Z546" t="s">
        <v>10146</v>
      </c>
      <c r="AA546" t="s">
        <v>10147</v>
      </c>
      <c r="AB546" t="s">
        <v>10148</v>
      </c>
      <c r="AC546" t="s">
        <v>74</v>
      </c>
      <c r="AD546" t="s">
        <v>74</v>
      </c>
      <c r="AE546" t="s">
        <v>74</v>
      </c>
      <c r="AF546" t="s">
        <v>74</v>
      </c>
      <c r="AG546">
        <v>38</v>
      </c>
      <c r="AH546">
        <v>4</v>
      </c>
      <c r="AI546">
        <v>6</v>
      </c>
      <c r="AJ546">
        <v>1</v>
      </c>
      <c r="AK546">
        <v>3</v>
      </c>
      <c r="AL546" t="s">
        <v>74</v>
      </c>
      <c r="AM546" t="s">
        <v>74</v>
      </c>
      <c r="AN546" t="s">
        <v>74</v>
      </c>
      <c r="AO546" t="s">
        <v>10149</v>
      </c>
      <c r="AP546" t="s">
        <v>10150</v>
      </c>
      <c r="AQ546" t="s">
        <v>74</v>
      </c>
      <c r="AR546" t="s">
        <v>74</v>
      </c>
      <c r="AS546" t="s">
        <v>74</v>
      </c>
      <c r="AT546" t="s">
        <v>640</v>
      </c>
      <c r="AU546">
        <v>2019</v>
      </c>
      <c r="AV546">
        <v>51</v>
      </c>
      <c r="AW546">
        <v>2</v>
      </c>
      <c r="AX546" t="s">
        <v>74</v>
      </c>
      <c r="AY546" t="s">
        <v>74</v>
      </c>
      <c r="AZ546" t="s">
        <v>74</v>
      </c>
      <c r="BA546" t="s">
        <v>74</v>
      </c>
      <c r="BB546">
        <v>180</v>
      </c>
      <c r="BC546">
        <v>184</v>
      </c>
      <c r="BD546" t="s">
        <v>74</v>
      </c>
      <c r="BE546" t="s">
        <v>10151</v>
      </c>
      <c r="BF546" t="str">
        <f>HYPERLINK("http://dx.doi.org/10.1097/SHK.0000000000001149","http://dx.doi.org/10.1097/SHK.0000000000001149")</f>
        <v>http://dx.doi.org/10.1097/SHK.0000000000001149</v>
      </c>
      <c r="BG546" t="s">
        <v>74</v>
      </c>
      <c r="BH546" t="s">
        <v>74</v>
      </c>
      <c r="BI546" t="s">
        <v>74</v>
      </c>
      <c r="BJ546" t="s">
        <v>10152</v>
      </c>
      <c r="BK546" t="s">
        <v>112</v>
      </c>
      <c r="BL546" t="s">
        <v>10153</v>
      </c>
      <c r="BM546" t="s">
        <v>74</v>
      </c>
      <c r="BN546">
        <v>29621120</v>
      </c>
      <c r="BO546" t="s">
        <v>74</v>
      </c>
      <c r="BP546" t="s">
        <v>74</v>
      </c>
      <c r="BQ546" t="s">
        <v>74</v>
      </c>
      <c r="BR546" t="s">
        <v>93</v>
      </c>
      <c r="BS546" t="s">
        <v>10154</v>
      </c>
      <c r="BT546" t="str">
        <f>HYPERLINK("https%3A%2F%2Fwww.webofscience.com%2Fwos%2Fwoscc%2Ffull-record%2FWOS:000462688400007","View Full Record in Web of Science")</f>
        <v>View Full Record in Web of Science</v>
      </c>
    </row>
    <row r="547" spans="1:72" x14ac:dyDescent="0.15">
      <c r="A547" t="s">
        <v>72</v>
      </c>
      <c r="B547" t="s">
        <v>10345</v>
      </c>
      <c r="C547" t="s">
        <v>74</v>
      </c>
      <c r="D547" t="s">
        <v>74</v>
      </c>
      <c r="E547" t="s">
        <v>74</v>
      </c>
      <c r="F547" t="s">
        <v>10346</v>
      </c>
      <c r="G547" t="s">
        <v>74</v>
      </c>
      <c r="H547" t="s">
        <v>74</v>
      </c>
      <c r="I547" t="s">
        <v>10347</v>
      </c>
      <c r="J547" t="s">
        <v>10348</v>
      </c>
      <c r="K547" t="s">
        <v>74</v>
      </c>
      <c r="L547" t="s">
        <v>74</v>
      </c>
      <c r="M547" t="s">
        <v>74</v>
      </c>
      <c r="N547" t="s">
        <v>78</v>
      </c>
      <c r="O547" t="s">
        <v>74</v>
      </c>
      <c r="P547" t="s">
        <v>74</v>
      </c>
      <c r="Q547" t="s">
        <v>74</v>
      </c>
      <c r="R547" t="s">
        <v>74</v>
      </c>
      <c r="S547" t="s">
        <v>74</v>
      </c>
      <c r="T547" t="s">
        <v>10349</v>
      </c>
      <c r="U547" t="s">
        <v>10350</v>
      </c>
      <c r="V547" t="s">
        <v>10351</v>
      </c>
      <c r="W547" t="s">
        <v>10352</v>
      </c>
      <c r="X547" t="s">
        <v>10353</v>
      </c>
      <c r="Y547" t="s">
        <v>10354</v>
      </c>
      <c r="Z547" t="s">
        <v>10355</v>
      </c>
      <c r="AA547" t="s">
        <v>74</v>
      </c>
      <c r="AB547" t="s">
        <v>74</v>
      </c>
      <c r="AC547" t="s">
        <v>74</v>
      </c>
      <c r="AD547" t="s">
        <v>74</v>
      </c>
      <c r="AE547" t="s">
        <v>74</v>
      </c>
      <c r="AF547" t="s">
        <v>74</v>
      </c>
      <c r="AG547">
        <v>39</v>
      </c>
      <c r="AH547">
        <v>4</v>
      </c>
      <c r="AI547">
        <v>4</v>
      </c>
      <c r="AJ547">
        <v>1</v>
      </c>
      <c r="AK547">
        <v>3</v>
      </c>
      <c r="AL547" t="s">
        <v>74</v>
      </c>
      <c r="AM547" t="s">
        <v>74</v>
      </c>
      <c r="AN547" t="s">
        <v>74</v>
      </c>
      <c r="AO547" t="s">
        <v>10356</v>
      </c>
      <c r="AP547" t="s">
        <v>10357</v>
      </c>
      <c r="AQ547" t="s">
        <v>74</v>
      </c>
      <c r="AR547" t="s">
        <v>74</v>
      </c>
      <c r="AS547" t="s">
        <v>74</v>
      </c>
      <c r="AT547" t="s">
        <v>503</v>
      </c>
      <c r="AU547">
        <v>2020</v>
      </c>
      <c r="AV547">
        <v>56</v>
      </c>
      <c r="AW547">
        <v>7</v>
      </c>
      <c r="AX547" t="s">
        <v>74</v>
      </c>
      <c r="AY547" t="s">
        <v>74</v>
      </c>
      <c r="AZ547" t="s">
        <v>74</v>
      </c>
      <c r="BA547" t="s">
        <v>74</v>
      </c>
      <c r="BB547" t="s">
        <v>74</v>
      </c>
      <c r="BC547" t="s">
        <v>74</v>
      </c>
      <c r="BD547">
        <v>340</v>
      </c>
      <c r="BE547" t="s">
        <v>10358</v>
      </c>
      <c r="BF547" t="str">
        <f>HYPERLINK("http://dx.doi.org/10.3390/medicina56070340","http://dx.doi.org/10.3390/medicina56070340")</f>
        <v>http://dx.doi.org/10.3390/medicina56070340</v>
      </c>
      <c r="BG547" t="s">
        <v>74</v>
      </c>
      <c r="BH547" t="s">
        <v>74</v>
      </c>
      <c r="BI547" t="s">
        <v>74</v>
      </c>
      <c r="BJ547" t="s">
        <v>802</v>
      </c>
      <c r="BK547" t="s">
        <v>112</v>
      </c>
      <c r="BL547" t="s">
        <v>803</v>
      </c>
      <c r="BM547" t="s">
        <v>74</v>
      </c>
      <c r="BN547">
        <v>32659906</v>
      </c>
      <c r="BO547" t="s">
        <v>74</v>
      </c>
      <c r="BP547" t="s">
        <v>74</v>
      </c>
      <c r="BQ547" t="s">
        <v>74</v>
      </c>
      <c r="BR547" t="s">
        <v>93</v>
      </c>
      <c r="BS547" t="s">
        <v>10359</v>
      </c>
      <c r="BT547" t="str">
        <f>HYPERLINK("https%3A%2F%2Fwww.webofscience.com%2Fwos%2Fwoscc%2Ffull-record%2FWOS:000554128600001","View Full Record in Web of Science")</f>
        <v>View Full Record in Web of Science</v>
      </c>
    </row>
    <row r="548" spans="1:72" x14ac:dyDescent="0.15">
      <c r="A548" t="s">
        <v>72</v>
      </c>
      <c r="B548" t="s">
        <v>10616</v>
      </c>
      <c r="C548" t="s">
        <v>74</v>
      </c>
      <c r="D548" t="s">
        <v>74</v>
      </c>
      <c r="E548" t="s">
        <v>74</v>
      </c>
      <c r="F548" t="s">
        <v>10617</v>
      </c>
      <c r="G548" t="s">
        <v>74</v>
      </c>
      <c r="H548" t="s">
        <v>74</v>
      </c>
      <c r="I548" t="s">
        <v>10618</v>
      </c>
      <c r="J548" t="s">
        <v>6005</v>
      </c>
      <c r="K548" t="s">
        <v>74</v>
      </c>
      <c r="L548" t="s">
        <v>74</v>
      </c>
      <c r="M548" t="s">
        <v>74</v>
      </c>
      <c r="N548" t="s">
        <v>78</v>
      </c>
      <c r="O548" t="s">
        <v>74</v>
      </c>
      <c r="P548" t="s">
        <v>74</v>
      </c>
      <c r="Q548" t="s">
        <v>74</v>
      </c>
      <c r="R548" t="s">
        <v>74</v>
      </c>
      <c r="S548" t="s">
        <v>74</v>
      </c>
      <c r="T548" t="s">
        <v>74</v>
      </c>
      <c r="U548" t="s">
        <v>10619</v>
      </c>
      <c r="V548" t="s">
        <v>10620</v>
      </c>
      <c r="W548" t="s">
        <v>10621</v>
      </c>
      <c r="X548" t="s">
        <v>10622</v>
      </c>
      <c r="Y548" t="s">
        <v>10623</v>
      </c>
      <c r="Z548" t="s">
        <v>10624</v>
      </c>
      <c r="AA548" t="s">
        <v>74</v>
      </c>
      <c r="AB548" t="s">
        <v>10625</v>
      </c>
      <c r="AC548" t="s">
        <v>74</v>
      </c>
      <c r="AD548" t="s">
        <v>74</v>
      </c>
      <c r="AE548" t="s">
        <v>74</v>
      </c>
      <c r="AF548" t="s">
        <v>74</v>
      </c>
      <c r="AG548">
        <v>71</v>
      </c>
      <c r="AH548">
        <v>4</v>
      </c>
      <c r="AI548">
        <v>5</v>
      </c>
      <c r="AJ548">
        <v>0</v>
      </c>
      <c r="AK548">
        <v>1</v>
      </c>
      <c r="AL548" t="s">
        <v>74</v>
      </c>
      <c r="AM548" t="s">
        <v>74</v>
      </c>
      <c r="AN548" t="s">
        <v>74</v>
      </c>
      <c r="AO548" t="s">
        <v>6014</v>
      </c>
      <c r="AP548" t="s">
        <v>6015</v>
      </c>
      <c r="AQ548" t="s">
        <v>74</v>
      </c>
      <c r="AR548" t="s">
        <v>74</v>
      </c>
      <c r="AS548" t="s">
        <v>74</v>
      </c>
      <c r="AT548" t="s">
        <v>129</v>
      </c>
      <c r="AU548">
        <v>2021</v>
      </c>
      <c r="AV548">
        <v>17</v>
      </c>
      <c r="AW548">
        <v>4</v>
      </c>
      <c r="AX548" t="s">
        <v>74</v>
      </c>
      <c r="AY548" t="s">
        <v>74</v>
      </c>
      <c r="AZ548" t="s">
        <v>74</v>
      </c>
      <c r="BA548" t="s">
        <v>74</v>
      </c>
      <c r="BB548" t="s">
        <v>74</v>
      </c>
      <c r="BC548" t="s">
        <v>74</v>
      </c>
      <c r="BD548" t="s">
        <v>10626</v>
      </c>
      <c r="BE548" t="s">
        <v>10627</v>
      </c>
      <c r="BF548" t="str">
        <f>HYPERLINK("http://dx.doi.org/10.1371/journal.ppat.1009434","http://dx.doi.org/10.1371/journal.ppat.1009434")</f>
        <v>http://dx.doi.org/10.1371/journal.ppat.1009434</v>
      </c>
      <c r="BG548" t="s">
        <v>74</v>
      </c>
      <c r="BH548" t="s">
        <v>74</v>
      </c>
      <c r="BI548" t="s">
        <v>74</v>
      </c>
      <c r="BJ548" t="s">
        <v>6018</v>
      </c>
      <c r="BK548" t="s">
        <v>112</v>
      </c>
      <c r="BL548" t="s">
        <v>6018</v>
      </c>
      <c r="BM548" t="s">
        <v>74</v>
      </c>
      <c r="BN548">
        <v>33878123</v>
      </c>
      <c r="BO548" t="s">
        <v>74</v>
      </c>
      <c r="BP548" t="s">
        <v>74</v>
      </c>
      <c r="BQ548" t="s">
        <v>74</v>
      </c>
      <c r="BR548" t="s">
        <v>93</v>
      </c>
      <c r="BS548" t="s">
        <v>10628</v>
      </c>
      <c r="BT548" t="str">
        <f>HYPERLINK("https%3A%2F%2Fwww.webofscience.com%2Fwos%2Fwoscc%2Ffull-record%2FWOS:000642143200003","View Full Record in Web of Science")</f>
        <v>View Full Record in Web of Science</v>
      </c>
    </row>
    <row r="549" spans="1:72" x14ac:dyDescent="0.15">
      <c r="A549" t="s">
        <v>72</v>
      </c>
      <c r="B549" t="s">
        <v>643</v>
      </c>
      <c r="C549" t="s">
        <v>74</v>
      </c>
      <c r="D549" t="s">
        <v>74</v>
      </c>
      <c r="E549" t="s">
        <v>74</v>
      </c>
      <c r="F549" t="s">
        <v>644</v>
      </c>
      <c r="G549" t="s">
        <v>74</v>
      </c>
      <c r="H549" t="s">
        <v>645</v>
      </c>
      <c r="I549" t="s">
        <v>646</v>
      </c>
      <c r="J549" t="s">
        <v>647</v>
      </c>
      <c r="K549" t="s">
        <v>74</v>
      </c>
      <c r="L549" t="s">
        <v>74</v>
      </c>
      <c r="M549" t="s">
        <v>74</v>
      </c>
      <c r="N549" t="s">
        <v>78</v>
      </c>
      <c r="O549" t="s">
        <v>74</v>
      </c>
      <c r="P549" t="s">
        <v>74</v>
      </c>
      <c r="Q549" t="s">
        <v>74</v>
      </c>
      <c r="R549" t="s">
        <v>74</v>
      </c>
      <c r="S549" t="s">
        <v>74</v>
      </c>
      <c r="T549" t="s">
        <v>648</v>
      </c>
      <c r="U549" t="s">
        <v>649</v>
      </c>
      <c r="V549" t="s">
        <v>650</v>
      </c>
      <c r="W549" t="s">
        <v>651</v>
      </c>
      <c r="X549" t="s">
        <v>652</v>
      </c>
      <c r="Y549" t="s">
        <v>653</v>
      </c>
      <c r="Z549" t="s">
        <v>654</v>
      </c>
      <c r="AA549" t="s">
        <v>655</v>
      </c>
      <c r="AB549" t="s">
        <v>656</v>
      </c>
      <c r="AC549" t="s">
        <v>74</v>
      </c>
      <c r="AD549" t="s">
        <v>74</v>
      </c>
      <c r="AE549" t="s">
        <v>74</v>
      </c>
      <c r="AF549" t="s">
        <v>74</v>
      </c>
      <c r="AG549">
        <v>22</v>
      </c>
      <c r="AH549">
        <v>3</v>
      </c>
      <c r="AI549">
        <v>3</v>
      </c>
      <c r="AJ549">
        <v>1</v>
      </c>
      <c r="AK549">
        <v>3</v>
      </c>
      <c r="AL549" t="s">
        <v>74</v>
      </c>
      <c r="AM549" t="s">
        <v>74</v>
      </c>
      <c r="AN549" t="s">
        <v>74</v>
      </c>
      <c r="AO549" t="s">
        <v>657</v>
      </c>
      <c r="AP549" t="s">
        <v>658</v>
      </c>
      <c r="AQ549" t="s">
        <v>74</v>
      </c>
      <c r="AR549" t="s">
        <v>74</v>
      </c>
      <c r="AS549" t="s">
        <v>74</v>
      </c>
      <c r="AT549" t="s">
        <v>659</v>
      </c>
      <c r="AU549">
        <v>2021</v>
      </c>
      <c r="AV549">
        <v>162</v>
      </c>
      <c r="AW549">
        <v>3</v>
      </c>
      <c r="AX549" t="s">
        <v>74</v>
      </c>
      <c r="AY549" t="s">
        <v>74</v>
      </c>
      <c r="AZ549" t="s">
        <v>74</v>
      </c>
      <c r="BA549" t="s">
        <v>74</v>
      </c>
      <c r="BB549">
        <v>720</v>
      </c>
      <c r="BC549">
        <v>727</v>
      </c>
      <c r="BD549" t="s">
        <v>74</v>
      </c>
      <c r="BE549" t="s">
        <v>660</v>
      </c>
      <c r="BF549" t="str">
        <f>HYPERLINK("http://dx.doi.org/10.1016/j.ygyno.2021.06.028","http://dx.doi.org/10.1016/j.ygyno.2021.06.028")</f>
        <v>http://dx.doi.org/10.1016/j.ygyno.2021.06.028</v>
      </c>
      <c r="BG549" t="s">
        <v>74</v>
      </c>
      <c r="BH549" t="s">
        <v>661</v>
      </c>
      <c r="BI549" t="s">
        <v>74</v>
      </c>
      <c r="BJ549" t="s">
        <v>662</v>
      </c>
      <c r="BK549" t="s">
        <v>112</v>
      </c>
      <c r="BL549" t="s">
        <v>662</v>
      </c>
      <c r="BM549" t="s">
        <v>74</v>
      </c>
      <c r="BN549">
        <v>34454680</v>
      </c>
      <c r="BO549" t="s">
        <v>74</v>
      </c>
      <c r="BP549" t="s">
        <v>74</v>
      </c>
      <c r="BQ549" t="s">
        <v>74</v>
      </c>
      <c r="BR549" t="s">
        <v>93</v>
      </c>
      <c r="BS549" t="s">
        <v>663</v>
      </c>
      <c r="BT549" t="str">
        <f>HYPERLINK("https%3A%2F%2Fwww.webofscience.com%2Fwos%2Fwoscc%2Ffull-record%2FWOS:000690807800030","View Full Record in Web of Science")</f>
        <v>View Full Record in Web of Science</v>
      </c>
    </row>
    <row r="550" spans="1:72" x14ac:dyDescent="0.15">
      <c r="A550" t="s">
        <v>72</v>
      </c>
      <c r="B550" t="s">
        <v>702</v>
      </c>
      <c r="C550" t="s">
        <v>74</v>
      </c>
      <c r="D550" t="s">
        <v>74</v>
      </c>
      <c r="E550" t="s">
        <v>74</v>
      </c>
      <c r="F550" t="s">
        <v>703</v>
      </c>
      <c r="G550" t="s">
        <v>74</v>
      </c>
      <c r="H550" t="s">
        <v>74</v>
      </c>
      <c r="I550" t="s">
        <v>704</v>
      </c>
      <c r="J550" t="s">
        <v>406</v>
      </c>
      <c r="K550" t="s">
        <v>74</v>
      </c>
      <c r="L550" t="s">
        <v>74</v>
      </c>
      <c r="M550" t="s">
        <v>74</v>
      </c>
      <c r="N550" t="s">
        <v>78</v>
      </c>
      <c r="O550" t="s">
        <v>74</v>
      </c>
      <c r="P550" t="s">
        <v>74</v>
      </c>
      <c r="Q550" t="s">
        <v>74</v>
      </c>
      <c r="R550" t="s">
        <v>74</v>
      </c>
      <c r="S550" t="s">
        <v>74</v>
      </c>
      <c r="T550" t="s">
        <v>705</v>
      </c>
      <c r="U550" t="s">
        <v>74</v>
      </c>
      <c r="V550" t="s">
        <v>706</v>
      </c>
      <c r="W550" t="s">
        <v>707</v>
      </c>
      <c r="X550" t="s">
        <v>708</v>
      </c>
      <c r="Y550" t="s">
        <v>709</v>
      </c>
      <c r="Z550" t="s">
        <v>710</v>
      </c>
      <c r="AA550" t="s">
        <v>711</v>
      </c>
      <c r="AB550" t="s">
        <v>712</v>
      </c>
      <c r="AC550" t="s">
        <v>74</v>
      </c>
      <c r="AD550" t="s">
        <v>74</v>
      </c>
      <c r="AE550" t="s">
        <v>74</v>
      </c>
      <c r="AF550" t="s">
        <v>74</v>
      </c>
      <c r="AG550">
        <v>30</v>
      </c>
      <c r="AH550">
        <v>3</v>
      </c>
      <c r="AI550">
        <v>3</v>
      </c>
      <c r="AJ550">
        <v>3</v>
      </c>
      <c r="AK550">
        <v>8</v>
      </c>
      <c r="AL550" t="s">
        <v>74</v>
      </c>
      <c r="AM550" t="s">
        <v>74</v>
      </c>
      <c r="AN550" t="s">
        <v>74</v>
      </c>
      <c r="AO550" t="s">
        <v>74</v>
      </c>
      <c r="AP550" t="s">
        <v>416</v>
      </c>
      <c r="AQ550" t="s">
        <v>74</v>
      </c>
      <c r="AR550" t="s">
        <v>74</v>
      </c>
      <c r="AS550" t="s">
        <v>74</v>
      </c>
      <c r="AT550" t="s">
        <v>437</v>
      </c>
      <c r="AU550">
        <v>2021</v>
      </c>
      <c r="AV550">
        <v>10</v>
      </c>
      <c r="AW550">
        <v>12</v>
      </c>
      <c r="AX550" t="s">
        <v>74</v>
      </c>
      <c r="AY550" t="s">
        <v>74</v>
      </c>
      <c r="AZ550" t="s">
        <v>74</v>
      </c>
      <c r="BA550" t="s">
        <v>74</v>
      </c>
      <c r="BB550" t="s">
        <v>74</v>
      </c>
      <c r="BC550" t="s">
        <v>74</v>
      </c>
      <c r="BD550" t="s">
        <v>713</v>
      </c>
      <c r="BE550" t="s">
        <v>714</v>
      </c>
      <c r="BF550" t="str">
        <f>HYPERLINK("http://dx.doi.org/10.1002/jev2.12142","http://dx.doi.org/10.1002/jev2.12142")</f>
        <v>http://dx.doi.org/10.1002/jev2.12142</v>
      </c>
      <c r="BG550" t="s">
        <v>74</v>
      </c>
      <c r="BH550" t="s">
        <v>74</v>
      </c>
      <c r="BI550" t="s">
        <v>74</v>
      </c>
      <c r="BJ550" t="s">
        <v>419</v>
      </c>
      <c r="BK550" t="s">
        <v>112</v>
      </c>
      <c r="BL550" t="s">
        <v>419</v>
      </c>
      <c r="BM550" t="s">
        <v>74</v>
      </c>
      <c r="BN550">
        <v>34595842</v>
      </c>
      <c r="BO550" t="s">
        <v>74</v>
      </c>
      <c r="BP550" t="s">
        <v>74</v>
      </c>
      <c r="BQ550" t="s">
        <v>74</v>
      </c>
      <c r="BR550" t="s">
        <v>93</v>
      </c>
      <c r="BS550" t="s">
        <v>715</v>
      </c>
      <c r="BT550" t="str">
        <f>HYPERLINK("https%3A%2F%2Fwww.webofscience.com%2Fwos%2Fwoscc%2Ffull-record%2FWOS:000702270100001","View Full Record in Web of Science")</f>
        <v>View Full Record in Web of Science</v>
      </c>
    </row>
    <row r="551" spans="1:72" x14ac:dyDescent="0.15">
      <c r="A551" t="s">
        <v>72</v>
      </c>
      <c r="B551" t="s">
        <v>972</v>
      </c>
      <c r="C551" t="s">
        <v>74</v>
      </c>
      <c r="D551" t="s">
        <v>74</v>
      </c>
      <c r="E551" t="s">
        <v>74</v>
      </c>
      <c r="F551" t="s">
        <v>973</v>
      </c>
      <c r="G551" t="s">
        <v>74</v>
      </c>
      <c r="H551" t="s">
        <v>74</v>
      </c>
      <c r="I551" t="s">
        <v>974</v>
      </c>
      <c r="J551" t="s">
        <v>975</v>
      </c>
      <c r="K551" t="s">
        <v>74</v>
      </c>
      <c r="L551" t="s">
        <v>74</v>
      </c>
      <c r="M551" t="s">
        <v>74</v>
      </c>
      <c r="N551" t="s">
        <v>78</v>
      </c>
      <c r="O551" t="s">
        <v>74</v>
      </c>
      <c r="P551" t="s">
        <v>74</v>
      </c>
      <c r="Q551" t="s">
        <v>74</v>
      </c>
      <c r="R551" t="s">
        <v>74</v>
      </c>
      <c r="S551" t="s">
        <v>74</v>
      </c>
      <c r="T551" t="s">
        <v>976</v>
      </c>
      <c r="U551" t="s">
        <v>977</v>
      </c>
      <c r="V551" t="s">
        <v>978</v>
      </c>
      <c r="W551" t="s">
        <v>979</v>
      </c>
      <c r="X551" t="s">
        <v>980</v>
      </c>
      <c r="Y551" t="s">
        <v>981</v>
      </c>
      <c r="Z551" t="s">
        <v>982</v>
      </c>
      <c r="AA551" t="s">
        <v>74</v>
      </c>
      <c r="AB551" t="s">
        <v>983</v>
      </c>
      <c r="AC551" t="s">
        <v>74</v>
      </c>
      <c r="AD551" t="s">
        <v>74</v>
      </c>
      <c r="AE551" t="s">
        <v>74</v>
      </c>
      <c r="AF551" t="s">
        <v>74</v>
      </c>
      <c r="AG551">
        <v>51</v>
      </c>
      <c r="AH551">
        <v>3</v>
      </c>
      <c r="AI551">
        <v>3</v>
      </c>
      <c r="AJ551">
        <v>4</v>
      </c>
      <c r="AK551">
        <v>14</v>
      </c>
      <c r="AL551" t="s">
        <v>74</v>
      </c>
      <c r="AM551" t="s">
        <v>74</v>
      </c>
      <c r="AN551" t="s">
        <v>74</v>
      </c>
      <c r="AO551" t="s">
        <v>74</v>
      </c>
      <c r="AP551" t="s">
        <v>984</v>
      </c>
      <c r="AQ551" t="s">
        <v>74</v>
      </c>
      <c r="AR551" t="s">
        <v>74</v>
      </c>
      <c r="AS551" t="s">
        <v>74</v>
      </c>
      <c r="AT551" t="s">
        <v>985</v>
      </c>
      <c r="AU551">
        <v>2020</v>
      </c>
      <c r="AV551">
        <v>7</v>
      </c>
      <c r="AW551" t="s">
        <v>74</v>
      </c>
      <c r="AX551" t="s">
        <v>74</v>
      </c>
      <c r="AY551" t="s">
        <v>74</v>
      </c>
      <c r="AZ551" t="s">
        <v>74</v>
      </c>
      <c r="BA551" t="s">
        <v>74</v>
      </c>
      <c r="BB551" t="s">
        <v>74</v>
      </c>
      <c r="BC551" t="s">
        <v>74</v>
      </c>
      <c r="BD551">
        <v>585276</v>
      </c>
      <c r="BE551" t="s">
        <v>986</v>
      </c>
      <c r="BF551" t="str">
        <f>HYPERLINK("http://dx.doi.org/10.3389/fvets.2020.585276","http://dx.doi.org/10.3389/fvets.2020.585276")</f>
        <v>http://dx.doi.org/10.3389/fvets.2020.585276</v>
      </c>
      <c r="BG551" t="s">
        <v>74</v>
      </c>
      <c r="BH551" t="s">
        <v>74</v>
      </c>
      <c r="BI551" t="s">
        <v>74</v>
      </c>
      <c r="BJ551" t="s">
        <v>987</v>
      </c>
      <c r="BK551" t="s">
        <v>112</v>
      </c>
      <c r="BL551" t="s">
        <v>987</v>
      </c>
      <c r="BM551" t="s">
        <v>74</v>
      </c>
      <c r="BN551">
        <v>33263017</v>
      </c>
      <c r="BO551" t="s">
        <v>74</v>
      </c>
      <c r="BP551" t="s">
        <v>74</v>
      </c>
      <c r="BQ551" t="s">
        <v>74</v>
      </c>
      <c r="BR551" t="s">
        <v>93</v>
      </c>
      <c r="BS551" t="s">
        <v>988</v>
      </c>
      <c r="BT551" t="str">
        <f>HYPERLINK("https%3A%2F%2Fwww.webofscience.com%2Fwos%2Fwoscc%2Ffull-record%2FWOS:000591903200001","View Full Record in Web of Science")</f>
        <v>View Full Record in Web of Science</v>
      </c>
    </row>
    <row r="552" spans="1:72" x14ac:dyDescent="0.15">
      <c r="A552" t="s">
        <v>72</v>
      </c>
      <c r="B552" t="s">
        <v>1097</v>
      </c>
      <c r="C552" t="s">
        <v>74</v>
      </c>
      <c r="D552" t="s">
        <v>74</v>
      </c>
      <c r="E552" t="s">
        <v>74</v>
      </c>
      <c r="F552" t="s">
        <v>1098</v>
      </c>
      <c r="G552" t="s">
        <v>74</v>
      </c>
      <c r="H552" t="s">
        <v>74</v>
      </c>
      <c r="I552" t="s">
        <v>1099</v>
      </c>
      <c r="J552" t="s">
        <v>1100</v>
      </c>
      <c r="K552" t="s">
        <v>74</v>
      </c>
      <c r="L552" t="s">
        <v>74</v>
      </c>
      <c r="M552" t="s">
        <v>74</v>
      </c>
      <c r="N552" t="s">
        <v>78</v>
      </c>
      <c r="O552" t="s">
        <v>74</v>
      </c>
      <c r="P552" t="s">
        <v>74</v>
      </c>
      <c r="Q552" t="s">
        <v>74</v>
      </c>
      <c r="R552" t="s">
        <v>74</v>
      </c>
      <c r="S552" t="s">
        <v>74</v>
      </c>
      <c r="T552" t="s">
        <v>1101</v>
      </c>
      <c r="U552" t="s">
        <v>1102</v>
      </c>
      <c r="V552" t="s">
        <v>1103</v>
      </c>
      <c r="W552" t="s">
        <v>1104</v>
      </c>
      <c r="X552" t="s">
        <v>1105</v>
      </c>
      <c r="Y552" t="s">
        <v>1106</v>
      </c>
      <c r="Z552" t="s">
        <v>1107</v>
      </c>
      <c r="AA552" t="s">
        <v>1108</v>
      </c>
      <c r="AB552" t="s">
        <v>1109</v>
      </c>
      <c r="AC552" t="s">
        <v>74</v>
      </c>
      <c r="AD552" t="s">
        <v>74</v>
      </c>
      <c r="AE552" t="s">
        <v>74</v>
      </c>
      <c r="AF552" t="s">
        <v>74</v>
      </c>
      <c r="AG552">
        <v>19</v>
      </c>
      <c r="AH552">
        <v>3</v>
      </c>
      <c r="AI552">
        <v>3</v>
      </c>
      <c r="AJ552">
        <v>2</v>
      </c>
      <c r="AK552">
        <v>4</v>
      </c>
      <c r="AL552" t="s">
        <v>74</v>
      </c>
      <c r="AM552" t="s">
        <v>74</v>
      </c>
      <c r="AN552" t="s">
        <v>74</v>
      </c>
      <c r="AO552" t="s">
        <v>74</v>
      </c>
      <c r="AP552" t="s">
        <v>1110</v>
      </c>
      <c r="AQ552" t="s">
        <v>74</v>
      </c>
      <c r="AR552" t="s">
        <v>74</v>
      </c>
      <c r="AS552" t="s">
        <v>74</v>
      </c>
      <c r="AT552" t="s">
        <v>1111</v>
      </c>
      <c r="AU552">
        <v>2021</v>
      </c>
      <c r="AV552">
        <v>26</v>
      </c>
      <c r="AW552">
        <v>9</v>
      </c>
      <c r="AX552" t="s">
        <v>74</v>
      </c>
      <c r="AY552" t="s">
        <v>74</v>
      </c>
      <c r="AZ552" t="s">
        <v>74</v>
      </c>
      <c r="BA552" t="s">
        <v>74</v>
      </c>
      <c r="BB552" t="s">
        <v>74</v>
      </c>
      <c r="BC552" t="s">
        <v>74</v>
      </c>
      <c r="BD552">
        <v>2499</v>
      </c>
      <c r="BE552" t="s">
        <v>1112</v>
      </c>
      <c r="BF552" t="str">
        <f>HYPERLINK("http://dx.doi.org/10.3390/molecules26092499","http://dx.doi.org/10.3390/molecules26092499")</f>
        <v>http://dx.doi.org/10.3390/molecules26092499</v>
      </c>
      <c r="BG552" t="s">
        <v>74</v>
      </c>
      <c r="BH552" t="s">
        <v>74</v>
      </c>
      <c r="BI552" t="s">
        <v>74</v>
      </c>
      <c r="BJ552" t="s">
        <v>680</v>
      </c>
      <c r="BK552" t="s">
        <v>112</v>
      </c>
      <c r="BL552" t="s">
        <v>681</v>
      </c>
      <c r="BM552" t="s">
        <v>74</v>
      </c>
      <c r="BN552">
        <v>33922925</v>
      </c>
      <c r="BO552" t="s">
        <v>74</v>
      </c>
      <c r="BP552" t="s">
        <v>74</v>
      </c>
      <c r="BQ552" t="s">
        <v>74</v>
      </c>
      <c r="BR552" t="s">
        <v>93</v>
      </c>
      <c r="BS552" t="s">
        <v>1113</v>
      </c>
      <c r="BT552" t="str">
        <f>HYPERLINK("https%3A%2F%2Fwww.webofscience.com%2Fwos%2Fwoscc%2Ffull-record%2FWOS:000650724100001","View Full Record in Web of Science")</f>
        <v>View Full Record in Web of Science</v>
      </c>
    </row>
    <row r="553" spans="1:72" x14ac:dyDescent="0.15">
      <c r="A553" t="s">
        <v>72</v>
      </c>
      <c r="B553" t="s">
        <v>2561</v>
      </c>
      <c r="C553" t="s">
        <v>74</v>
      </c>
      <c r="D553" t="s">
        <v>74</v>
      </c>
      <c r="E553" t="s">
        <v>74</v>
      </c>
      <c r="F553" t="s">
        <v>2562</v>
      </c>
      <c r="G553" t="s">
        <v>74</v>
      </c>
      <c r="H553" t="s">
        <v>74</v>
      </c>
      <c r="I553" t="s">
        <v>2563</v>
      </c>
      <c r="J553" t="s">
        <v>2013</v>
      </c>
      <c r="K553" t="s">
        <v>74</v>
      </c>
      <c r="L553" t="s">
        <v>74</v>
      </c>
      <c r="M553" t="s">
        <v>74</v>
      </c>
      <c r="N553" t="s">
        <v>78</v>
      </c>
      <c r="O553" t="s">
        <v>74</v>
      </c>
      <c r="P553" t="s">
        <v>74</v>
      </c>
      <c r="Q553" t="s">
        <v>74</v>
      </c>
      <c r="R553" t="s">
        <v>74</v>
      </c>
      <c r="S553" t="s">
        <v>74</v>
      </c>
      <c r="T553" t="s">
        <v>74</v>
      </c>
      <c r="U553" t="s">
        <v>74</v>
      </c>
      <c r="V553" t="s">
        <v>2564</v>
      </c>
      <c r="W553" t="s">
        <v>2565</v>
      </c>
      <c r="X553" t="s">
        <v>2566</v>
      </c>
      <c r="Y553" t="s">
        <v>2567</v>
      </c>
      <c r="Z553" t="s">
        <v>2568</v>
      </c>
      <c r="AA553" t="s">
        <v>2569</v>
      </c>
      <c r="AB553" t="s">
        <v>2570</v>
      </c>
      <c r="AC553" t="s">
        <v>74</v>
      </c>
      <c r="AD553" t="s">
        <v>74</v>
      </c>
      <c r="AE553" t="s">
        <v>74</v>
      </c>
      <c r="AF553" t="s">
        <v>74</v>
      </c>
      <c r="AG553">
        <v>20</v>
      </c>
      <c r="AH553">
        <v>3</v>
      </c>
      <c r="AI553">
        <v>3</v>
      </c>
      <c r="AJ553">
        <v>11</v>
      </c>
      <c r="AK553">
        <v>35</v>
      </c>
      <c r="AL553" t="s">
        <v>74</v>
      </c>
      <c r="AM553" t="s">
        <v>74</v>
      </c>
      <c r="AN553" t="s">
        <v>74</v>
      </c>
      <c r="AO553" t="s">
        <v>2022</v>
      </c>
      <c r="AP553" t="s">
        <v>2023</v>
      </c>
      <c r="AQ553" t="s">
        <v>74</v>
      </c>
      <c r="AR553" t="s">
        <v>74</v>
      </c>
      <c r="AS553" t="s">
        <v>74</v>
      </c>
      <c r="AT553" t="s">
        <v>2571</v>
      </c>
      <c r="AU553">
        <v>2021</v>
      </c>
      <c r="AV553">
        <v>93</v>
      </c>
      <c r="AW553">
        <v>13</v>
      </c>
      <c r="AX553" t="s">
        <v>74</v>
      </c>
      <c r="AY553" t="s">
        <v>74</v>
      </c>
      <c r="AZ553" t="s">
        <v>74</v>
      </c>
      <c r="BA553" t="s">
        <v>74</v>
      </c>
      <c r="BB553">
        <v>5476</v>
      </c>
      <c r="BC553">
        <v>5483</v>
      </c>
      <c r="BD553" t="s">
        <v>74</v>
      </c>
      <c r="BE553" t="s">
        <v>2572</v>
      </c>
      <c r="BF553" t="str">
        <f>HYPERLINK("http://dx.doi.org/10.1021/acs.analchem.0c05194","http://dx.doi.org/10.1021/acs.analchem.0c05194")</f>
        <v>http://dx.doi.org/10.1021/acs.analchem.0c05194</v>
      </c>
      <c r="BG553" t="s">
        <v>74</v>
      </c>
      <c r="BH553" t="s">
        <v>2200</v>
      </c>
      <c r="BI553" t="s">
        <v>74</v>
      </c>
      <c r="BJ553" t="s">
        <v>1196</v>
      </c>
      <c r="BK553" t="s">
        <v>112</v>
      </c>
      <c r="BL553" t="s">
        <v>1197</v>
      </c>
      <c r="BM553" t="s">
        <v>74</v>
      </c>
      <c r="BN553">
        <v>33769802</v>
      </c>
      <c r="BO553" t="s">
        <v>74</v>
      </c>
      <c r="BP553" t="s">
        <v>74</v>
      </c>
      <c r="BQ553" t="s">
        <v>74</v>
      </c>
      <c r="BR553" t="s">
        <v>93</v>
      </c>
      <c r="BS553" t="s">
        <v>2573</v>
      </c>
      <c r="BT553" t="str">
        <f>HYPERLINK("https%3A%2F%2Fwww.webofscience.com%2Fwos%2Fwoscc%2Ffull-record%2FWOS:000638986400018","View Full Record in Web of Science")</f>
        <v>View Full Record in Web of Science</v>
      </c>
    </row>
    <row r="554" spans="1:72" x14ac:dyDescent="0.15">
      <c r="A554" t="s">
        <v>72</v>
      </c>
      <c r="B554" t="s">
        <v>2703</v>
      </c>
      <c r="C554" t="s">
        <v>74</v>
      </c>
      <c r="D554" t="s">
        <v>74</v>
      </c>
      <c r="E554" t="s">
        <v>74</v>
      </c>
      <c r="F554" t="s">
        <v>2704</v>
      </c>
      <c r="G554" t="s">
        <v>74</v>
      </c>
      <c r="H554" t="s">
        <v>74</v>
      </c>
      <c r="I554" t="s">
        <v>2705</v>
      </c>
      <c r="J554" t="s">
        <v>2706</v>
      </c>
      <c r="K554" t="s">
        <v>74</v>
      </c>
      <c r="L554" t="s">
        <v>74</v>
      </c>
      <c r="M554" t="s">
        <v>74</v>
      </c>
      <c r="N554" t="s">
        <v>78</v>
      </c>
      <c r="O554" t="s">
        <v>74</v>
      </c>
      <c r="P554" t="s">
        <v>74</v>
      </c>
      <c r="Q554" t="s">
        <v>74</v>
      </c>
      <c r="R554" t="s">
        <v>74</v>
      </c>
      <c r="S554" t="s">
        <v>74</v>
      </c>
      <c r="T554" t="s">
        <v>2707</v>
      </c>
      <c r="U554" t="s">
        <v>2708</v>
      </c>
      <c r="V554" t="s">
        <v>2709</v>
      </c>
      <c r="W554" t="s">
        <v>2710</v>
      </c>
      <c r="X554" t="s">
        <v>2711</v>
      </c>
      <c r="Y554" t="s">
        <v>2712</v>
      </c>
      <c r="Z554" t="s">
        <v>2713</v>
      </c>
      <c r="AA554" t="s">
        <v>74</v>
      </c>
      <c r="AB554" t="s">
        <v>2714</v>
      </c>
      <c r="AC554" t="s">
        <v>74</v>
      </c>
      <c r="AD554" t="s">
        <v>74</v>
      </c>
      <c r="AE554" t="s">
        <v>74</v>
      </c>
      <c r="AF554" t="s">
        <v>74</v>
      </c>
      <c r="AG554">
        <v>58</v>
      </c>
      <c r="AH554">
        <v>3</v>
      </c>
      <c r="AI554">
        <v>3</v>
      </c>
      <c r="AJ554">
        <v>0</v>
      </c>
      <c r="AK554">
        <v>5</v>
      </c>
      <c r="AL554" t="s">
        <v>74</v>
      </c>
      <c r="AM554" t="s">
        <v>74</v>
      </c>
      <c r="AN554" t="s">
        <v>74</v>
      </c>
      <c r="AO554" t="s">
        <v>2715</v>
      </c>
      <c r="AP554" t="s">
        <v>2716</v>
      </c>
      <c r="AQ554" t="s">
        <v>74</v>
      </c>
      <c r="AR554" t="s">
        <v>74</v>
      </c>
      <c r="AS554" t="s">
        <v>74</v>
      </c>
      <c r="AT554" t="s">
        <v>88</v>
      </c>
      <c r="AU554">
        <v>2021</v>
      </c>
      <c r="AV554">
        <v>71</v>
      </c>
      <c r="AW554">
        <v>6</v>
      </c>
      <c r="AX554" t="s">
        <v>74</v>
      </c>
      <c r="AY554" t="s">
        <v>74</v>
      </c>
      <c r="AZ554" t="s">
        <v>74</v>
      </c>
      <c r="BA554" t="s">
        <v>74</v>
      </c>
      <c r="BB554">
        <v>1156</v>
      </c>
      <c r="BC554">
        <v>1167</v>
      </c>
      <c r="BD554" t="s">
        <v>74</v>
      </c>
      <c r="BE554" t="s">
        <v>2717</v>
      </c>
      <c r="BF554" t="str">
        <f>HYPERLINK("http://dx.doi.org/10.1007/s12031-020-01738-x","http://dx.doi.org/10.1007/s12031-020-01738-x")</f>
        <v>http://dx.doi.org/10.1007/s12031-020-01738-x</v>
      </c>
      <c r="BG554" t="s">
        <v>74</v>
      </c>
      <c r="BH554" t="s">
        <v>2718</v>
      </c>
      <c r="BI554" t="s">
        <v>74</v>
      </c>
      <c r="BJ554" t="s">
        <v>2719</v>
      </c>
      <c r="BK554" t="s">
        <v>112</v>
      </c>
      <c r="BL554" t="s">
        <v>2720</v>
      </c>
      <c r="BM554" t="s">
        <v>74</v>
      </c>
      <c r="BN554">
        <v>33231813</v>
      </c>
      <c r="BO554" t="s">
        <v>74</v>
      </c>
      <c r="BP554" t="s">
        <v>74</v>
      </c>
      <c r="BQ554" t="s">
        <v>74</v>
      </c>
      <c r="BR554" t="s">
        <v>93</v>
      </c>
      <c r="BS554" t="s">
        <v>2721</v>
      </c>
      <c r="BT554" t="str">
        <f>HYPERLINK("https%3A%2F%2Fwww.webofscience.com%2Fwos%2Fwoscc%2Ffull-record%2FWOS:000592141300001","View Full Record in Web of Science")</f>
        <v>View Full Record in Web of Science</v>
      </c>
    </row>
    <row r="555" spans="1:72" x14ac:dyDescent="0.15">
      <c r="A555" t="s">
        <v>72</v>
      </c>
      <c r="B555" t="s">
        <v>2878</v>
      </c>
      <c r="C555" t="s">
        <v>74</v>
      </c>
      <c r="D555" t="s">
        <v>74</v>
      </c>
      <c r="E555" t="s">
        <v>74</v>
      </c>
      <c r="F555" t="s">
        <v>2879</v>
      </c>
      <c r="G555" t="s">
        <v>74</v>
      </c>
      <c r="H555" t="s">
        <v>74</v>
      </c>
      <c r="I555" t="s">
        <v>2880</v>
      </c>
      <c r="J555" t="s">
        <v>2881</v>
      </c>
      <c r="K555" t="s">
        <v>74</v>
      </c>
      <c r="L555" t="s">
        <v>74</v>
      </c>
      <c r="M555" t="s">
        <v>74</v>
      </c>
      <c r="N555" t="s">
        <v>78</v>
      </c>
      <c r="O555" t="s">
        <v>74</v>
      </c>
      <c r="P555" t="s">
        <v>74</v>
      </c>
      <c r="Q555" t="s">
        <v>74</v>
      </c>
      <c r="R555" t="s">
        <v>74</v>
      </c>
      <c r="S555" t="s">
        <v>74</v>
      </c>
      <c r="T555" t="s">
        <v>2882</v>
      </c>
      <c r="U555" t="s">
        <v>2883</v>
      </c>
      <c r="V555" t="s">
        <v>2884</v>
      </c>
      <c r="W555" t="s">
        <v>2885</v>
      </c>
      <c r="X555" t="s">
        <v>2886</v>
      </c>
      <c r="Y555" t="s">
        <v>2887</v>
      </c>
      <c r="Z555" t="s">
        <v>2888</v>
      </c>
      <c r="AA555" t="s">
        <v>2889</v>
      </c>
      <c r="AB555" t="s">
        <v>2890</v>
      </c>
      <c r="AC555" t="s">
        <v>74</v>
      </c>
      <c r="AD555" t="s">
        <v>74</v>
      </c>
      <c r="AE555" t="s">
        <v>74</v>
      </c>
      <c r="AF555" t="s">
        <v>74</v>
      </c>
      <c r="AG555">
        <v>74</v>
      </c>
      <c r="AH555">
        <v>3</v>
      </c>
      <c r="AI555">
        <v>3</v>
      </c>
      <c r="AJ555">
        <v>1</v>
      </c>
      <c r="AK555">
        <v>7</v>
      </c>
      <c r="AL555" t="s">
        <v>74</v>
      </c>
      <c r="AM555" t="s">
        <v>74</v>
      </c>
      <c r="AN555" t="s">
        <v>74</v>
      </c>
      <c r="AO555" t="s">
        <v>2891</v>
      </c>
      <c r="AP555" t="s">
        <v>2892</v>
      </c>
      <c r="AQ555" t="s">
        <v>74</v>
      </c>
      <c r="AR555" t="s">
        <v>74</v>
      </c>
      <c r="AS555" t="s">
        <v>74</v>
      </c>
      <c r="AT555" t="s">
        <v>108</v>
      </c>
      <c r="AU555">
        <v>2021</v>
      </c>
      <c r="AV555">
        <v>88</v>
      </c>
      <c r="AW555">
        <v>1</v>
      </c>
      <c r="AX555" t="s">
        <v>74</v>
      </c>
      <c r="AY555" t="s">
        <v>74</v>
      </c>
      <c r="AZ555" t="s">
        <v>74</v>
      </c>
      <c r="BA555" t="s">
        <v>74</v>
      </c>
      <c r="BB555">
        <v>96</v>
      </c>
      <c r="BC555">
        <v>112</v>
      </c>
      <c r="BD555" t="s">
        <v>74</v>
      </c>
      <c r="BE555" t="s">
        <v>2893</v>
      </c>
      <c r="BF555" t="str">
        <f>HYPERLINK("http://dx.doi.org/10.1002/mrd.23445","http://dx.doi.org/10.1002/mrd.23445")</f>
        <v>http://dx.doi.org/10.1002/mrd.23445</v>
      </c>
      <c r="BG555" t="s">
        <v>74</v>
      </c>
      <c r="BH555" t="s">
        <v>291</v>
      </c>
      <c r="BI555" t="s">
        <v>74</v>
      </c>
      <c r="BJ555" t="s">
        <v>2894</v>
      </c>
      <c r="BK555" t="s">
        <v>112</v>
      </c>
      <c r="BL555" t="s">
        <v>2894</v>
      </c>
      <c r="BM555" t="s">
        <v>74</v>
      </c>
      <c r="BN555">
        <v>33345401</v>
      </c>
      <c r="BO555" t="s">
        <v>74</v>
      </c>
      <c r="BP555" t="s">
        <v>74</v>
      </c>
      <c r="BQ555" t="s">
        <v>74</v>
      </c>
      <c r="BR555" t="s">
        <v>93</v>
      </c>
      <c r="BS555" t="s">
        <v>2895</v>
      </c>
      <c r="BT555" t="str">
        <f>HYPERLINK("https%3A%2F%2Fwww.webofscience.com%2Fwos%2Fwoscc%2Ffull-record%2FWOS:000600354900001","View Full Record in Web of Science")</f>
        <v>View Full Record in Web of Science</v>
      </c>
    </row>
    <row r="556" spans="1:72" x14ac:dyDescent="0.15">
      <c r="A556" t="s">
        <v>72</v>
      </c>
      <c r="B556" t="s">
        <v>2896</v>
      </c>
      <c r="C556" t="s">
        <v>74</v>
      </c>
      <c r="D556" t="s">
        <v>74</v>
      </c>
      <c r="E556" t="s">
        <v>74</v>
      </c>
      <c r="F556" t="s">
        <v>2897</v>
      </c>
      <c r="G556" t="s">
        <v>74</v>
      </c>
      <c r="H556" t="s">
        <v>74</v>
      </c>
      <c r="I556" t="s">
        <v>2898</v>
      </c>
      <c r="J556" t="s">
        <v>2899</v>
      </c>
      <c r="K556" t="s">
        <v>74</v>
      </c>
      <c r="L556" t="s">
        <v>74</v>
      </c>
      <c r="M556" t="s">
        <v>74</v>
      </c>
      <c r="N556" t="s">
        <v>78</v>
      </c>
      <c r="O556" t="s">
        <v>74</v>
      </c>
      <c r="P556" t="s">
        <v>74</v>
      </c>
      <c r="Q556" t="s">
        <v>74</v>
      </c>
      <c r="R556" t="s">
        <v>74</v>
      </c>
      <c r="S556" t="s">
        <v>74</v>
      </c>
      <c r="T556" t="s">
        <v>2900</v>
      </c>
      <c r="U556" t="s">
        <v>2901</v>
      </c>
      <c r="V556" t="s">
        <v>2902</v>
      </c>
      <c r="W556" t="s">
        <v>2903</v>
      </c>
      <c r="X556" t="s">
        <v>2904</v>
      </c>
      <c r="Y556" t="s">
        <v>2905</v>
      </c>
      <c r="Z556" t="s">
        <v>2906</v>
      </c>
      <c r="AA556" t="s">
        <v>74</v>
      </c>
      <c r="AB556" t="s">
        <v>74</v>
      </c>
      <c r="AC556" t="s">
        <v>74</v>
      </c>
      <c r="AD556" t="s">
        <v>74</v>
      </c>
      <c r="AE556" t="s">
        <v>74</v>
      </c>
      <c r="AF556" t="s">
        <v>74</v>
      </c>
      <c r="AG556">
        <v>23</v>
      </c>
      <c r="AH556">
        <v>3</v>
      </c>
      <c r="AI556">
        <v>3</v>
      </c>
      <c r="AJ556">
        <v>0</v>
      </c>
      <c r="AK556">
        <v>3</v>
      </c>
      <c r="AL556" t="s">
        <v>74</v>
      </c>
      <c r="AM556" t="s">
        <v>74</v>
      </c>
      <c r="AN556" t="s">
        <v>74</v>
      </c>
      <c r="AO556" t="s">
        <v>2907</v>
      </c>
      <c r="AP556" t="s">
        <v>2908</v>
      </c>
      <c r="AQ556" t="s">
        <v>74</v>
      </c>
      <c r="AR556" t="s">
        <v>74</v>
      </c>
      <c r="AS556" t="s">
        <v>74</v>
      </c>
      <c r="AT556" t="s">
        <v>171</v>
      </c>
      <c r="AU556">
        <v>2016</v>
      </c>
      <c r="AV556">
        <v>50</v>
      </c>
      <c r="AW556">
        <v>4</v>
      </c>
      <c r="AX556" t="s">
        <v>74</v>
      </c>
      <c r="AY556" t="s">
        <v>74</v>
      </c>
      <c r="AZ556" t="s">
        <v>74</v>
      </c>
      <c r="BA556" t="s">
        <v>74</v>
      </c>
      <c r="BB556">
        <v>783</v>
      </c>
      <c r="BC556">
        <v>790</v>
      </c>
      <c r="BD556" t="s">
        <v>74</v>
      </c>
      <c r="BE556" t="s">
        <v>74</v>
      </c>
      <c r="BF556" t="s">
        <v>74</v>
      </c>
      <c r="BG556" t="s">
        <v>74</v>
      </c>
      <c r="BH556" t="s">
        <v>74</v>
      </c>
      <c r="BI556" t="s">
        <v>74</v>
      </c>
      <c r="BJ556" t="s">
        <v>1214</v>
      </c>
      <c r="BK556" t="s">
        <v>112</v>
      </c>
      <c r="BL556" t="s">
        <v>1214</v>
      </c>
      <c r="BM556" t="s">
        <v>74</v>
      </c>
      <c r="BN556" t="s">
        <v>74</v>
      </c>
      <c r="BO556" t="s">
        <v>74</v>
      </c>
      <c r="BP556" t="s">
        <v>74</v>
      </c>
      <c r="BQ556" t="s">
        <v>74</v>
      </c>
      <c r="BR556" t="s">
        <v>93</v>
      </c>
      <c r="BS556" t="s">
        <v>2909</v>
      </c>
      <c r="BT556" t="str">
        <f>HYPERLINK("https%3A%2F%2Fwww.webofscience.com%2Fwos%2Fwoscc%2Ffull-record%2FWOS:000401465000028","View Full Record in Web of Science")</f>
        <v>View Full Record in Web of Science</v>
      </c>
    </row>
    <row r="557" spans="1:72" x14ac:dyDescent="0.15">
      <c r="A557" t="s">
        <v>72</v>
      </c>
      <c r="B557" t="s">
        <v>3046</v>
      </c>
      <c r="C557" t="s">
        <v>74</v>
      </c>
      <c r="D557" t="s">
        <v>74</v>
      </c>
      <c r="E557" t="s">
        <v>74</v>
      </c>
      <c r="F557" t="s">
        <v>3047</v>
      </c>
      <c r="G557" t="s">
        <v>74</v>
      </c>
      <c r="H557" t="s">
        <v>74</v>
      </c>
      <c r="I557" t="s">
        <v>3048</v>
      </c>
      <c r="J557" t="s">
        <v>3049</v>
      </c>
      <c r="K557" t="s">
        <v>74</v>
      </c>
      <c r="L557" t="s">
        <v>74</v>
      </c>
      <c r="M557" t="s">
        <v>74</v>
      </c>
      <c r="N557" t="s">
        <v>78</v>
      </c>
      <c r="O557" t="s">
        <v>74</v>
      </c>
      <c r="P557" t="s">
        <v>74</v>
      </c>
      <c r="Q557" t="s">
        <v>74</v>
      </c>
      <c r="R557" t="s">
        <v>74</v>
      </c>
      <c r="S557" t="s">
        <v>74</v>
      </c>
      <c r="T557" t="s">
        <v>3050</v>
      </c>
      <c r="U557" t="s">
        <v>3051</v>
      </c>
      <c r="V557" t="s">
        <v>3052</v>
      </c>
      <c r="W557" t="s">
        <v>3053</v>
      </c>
      <c r="X557" t="s">
        <v>3054</v>
      </c>
      <c r="Y557" t="s">
        <v>3055</v>
      </c>
      <c r="Z557" t="s">
        <v>3056</v>
      </c>
      <c r="AA557" t="s">
        <v>3057</v>
      </c>
      <c r="AB557" t="s">
        <v>3058</v>
      </c>
      <c r="AC557" t="s">
        <v>74</v>
      </c>
      <c r="AD557" t="s">
        <v>74</v>
      </c>
      <c r="AE557" t="s">
        <v>74</v>
      </c>
      <c r="AF557" t="s">
        <v>74</v>
      </c>
      <c r="AG557">
        <v>41</v>
      </c>
      <c r="AH557">
        <v>3</v>
      </c>
      <c r="AI557">
        <v>4</v>
      </c>
      <c r="AJ557">
        <v>0</v>
      </c>
      <c r="AK557">
        <v>5</v>
      </c>
      <c r="AL557" t="s">
        <v>74</v>
      </c>
      <c r="AM557" t="s">
        <v>74</v>
      </c>
      <c r="AN557" t="s">
        <v>74</v>
      </c>
      <c r="AO557" t="s">
        <v>3059</v>
      </c>
      <c r="AP557" t="s">
        <v>3060</v>
      </c>
      <c r="AQ557" t="s">
        <v>74</v>
      </c>
      <c r="AR557" t="s">
        <v>74</v>
      </c>
      <c r="AS557" t="s">
        <v>74</v>
      </c>
      <c r="AT557" t="s">
        <v>640</v>
      </c>
      <c r="AU557">
        <v>2021</v>
      </c>
      <c r="AV557">
        <v>28</v>
      </c>
      <c r="AW557">
        <v>2</v>
      </c>
      <c r="AX557" t="s">
        <v>74</v>
      </c>
      <c r="AY557" t="s">
        <v>74</v>
      </c>
      <c r="AZ557" t="s">
        <v>74</v>
      </c>
      <c r="BA557" t="s">
        <v>74</v>
      </c>
      <c r="BB557">
        <v>562</v>
      </c>
      <c r="BC557">
        <v>569</v>
      </c>
      <c r="BD557" t="s">
        <v>74</v>
      </c>
      <c r="BE557" t="s">
        <v>3061</v>
      </c>
      <c r="BF557" t="str">
        <f>HYPERLINK("http://dx.doi.org/10.1007/s43032-020-00321-4","http://dx.doi.org/10.1007/s43032-020-00321-4")</f>
        <v>http://dx.doi.org/10.1007/s43032-020-00321-4</v>
      </c>
      <c r="BG557" t="s">
        <v>74</v>
      </c>
      <c r="BH557" t="s">
        <v>3062</v>
      </c>
      <c r="BI557" t="s">
        <v>74</v>
      </c>
      <c r="BJ557" t="s">
        <v>3063</v>
      </c>
      <c r="BK557" t="s">
        <v>112</v>
      </c>
      <c r="BL557" t="s">
        <v>3063</v>
      </c>
      <c r="BM557" t="s">
        <v>74</v>
      </c>
      <c r="BN557">
        <v>32968935</v>
      </c>
      <c r="BO557" t="s">
        <v>74</v>
      </c>
      <c r="BP557" t="s">
        <v>74</v>
      </c>
      <c r="BQ557" t="s">
        <v>74</v>
      </c>
      <c r="BR557" t="s">
        <v>93</v>
      </c>
      <c r="BS557" t="s">
        <v>3064</v>
      </c>
      <c r="BT557" t="str">
        <f>HYPERLINK("https%3A%2F%2Fwww.webofscience.com%2Fwos%2Fwoscc%2Ffull-record%2FWOS:000572325200002","View Full Record in Web of Science")</f>
        <v>View Full Record in Web of Science</v>
      </c>
    </row>
    <row r="558" spans="1:72" x14ac:dyDescent="0.15">
      <c r="A558" t="s">
        <v>72</v>
      </c>
      <c r="B558" t="s">
        <v>3486</v>
      </c>
      <c r="C558" t="s">
        <v>74</v>
      </c>
      <c r="D558" t="s">
        <v>74</v>
      </c>
      <c r="E558" t="s">
        <v>74</v>
      </c>
      <c r="F558" t="s">
        <v>3487</v>
      </c>
      <c r="G558" t="s">
        <v>74</v>
      </c>
      <c r="H558" t="s">
        <v>74</v>
      </c>
      <c r="I558" t="s">
        <v>3488</v>
      </c>
      <c r="J558" t="s">
        <v>262</v>
      </c>
      <c r="K558" t="s">
        <v>74</v>
      </c>
      <c r="L558" t="s">
        <v>74</v>
      </c>
      <c r="M558" t="s">
        <v>74</v>
      </c>
      <c r="N558" t="s">
        <v>78</v>
      </c>
      <c r="O558" t="s">
        <v>74</v>
      </c>
      <c r="P558" t="s">
        <v>74</v>
      </c>
      <c r="Q558" t="s">
        <v>74</v>
      </c>
      <c r="R558" t="s">
        <v>74</v>
      </c>
      <c r="S558" t="s">
        <v>74</v>
      </c>
      <c r="T558" t="s">
        <v>3489</v>
      </c>
      <c r="U558" t="s">
        <v>3490</v>
      </c>
      <c r="V558" t="s">
        <v>3491</v>
      </c>
      <c r="W558" t="s">
        <v>3492</v>
      </c>
      <c r="X558" t="s">
        <v>3493</v>
      </c>
      <c r="Y558" t="s">
        <v>3494</v>
      </c>
      <c r="Z558" t="s">
        <v>3495</v>
      </c>
      <c r="AA558" t="s">
        <v>74</v>
      </c>
      <c r="AB558" t="s">
        <v>74</v>
      </c>
      <c r="AC558" t="s">
        <v>74</v>
      </c>
      <c r="AD558" t="s">
        <v>74</v>
      </c>
      <c r="AE558" t="s">
        <v>74</v>
      </c>
      <c r="AF558" t="s">
        <v>74</v>
      </c>
      <c r="AG558">
        <v>31</v>
      </c>
      <c r="AH558">
        <v>3</v>
      </c>
      <c r="AI558">
        <v>4</v>
      </c>
      <c r="AJ558">
        <v>2</v>
      </c>
      <c r="AK558">
        <v>13</v>
      </c>
      <c r="AL558" t="s">
        <v>74</v>
      </c>
      <c r="AM558" t="s">
        <v>74</v>
      </c>
      <c r="AN558" t="s">
        <v>74</v>
      </c>
      <c r="AO558" t="s">
        <v>270</v>
      </c>
      <c r="AP558" t="s">
        <v>74</v>
      </c>
      <c r="AQ558" t="s">
        <v>74</v>
      </c>
      <c r="AR558" t="s">
        <v>74</v>
      </c>
      <c r="AS558" t="s">
        <v>74</v>
      </c>
      <c r="AT558" t="s">
        <v>3496</v>
      </c>
      <c r="AU558">
        <v>2020</v>
      </c>
      <c r="AV558">
        <v>10</v>
      </c>
      <c r="AW558" t="s">
        <v>74</v>
      </c>
      <c r="AX558" t="s">
        <v>74</v>
      </c>
      <c r="AY558" t="s">
        <v>74</v>
      </c>
      <c r="AZ558" t="s">
        <v>74</v>
      </c>
      <c r="BA558" t="s">
        <v>74</v>
      </c>
      <c r="BB558" t="s">
        <v>74</v>
      </c>
      <c r="BC558" t="s">
        <v>74</v>
      </c>
      <c r="BD558">
        <v>558106</v>
      </c>
      <c r="BE558" t="s">
        <v>3497</v>
      </c>
      <c r="BF558" t="str">
        <f>HYPERLINK("http://dx.doi.org/10.3389/fonc.2020.558106","http://dx.doi.org/10.3389/fonc.2020.558106")</f>
        <v>http://dx.doi.org/10.3389/fonc.2020.558106</v>
      </c>
      <c r="BG558" t="s">
        <v>74</v>
      </c>
      <c r="BH558" t="s">
        <v>74</v>
      </c>
      <c r="BI558" t="s">
        <v>74</v>
      </c>
      <c r="BJ558" t="s">
        <v>146</v>
      </c>
      <c r="BK558" t="s">
        <v>112</v>
      </c>
      <c r="BL558" t="s">
        <v>146</v>
      </c>
      <c r="BM558" t="s">
        <v>74</v>
      </c>
      <c r="BN558">
        <v>33042841</v>
      </c>
      <c r="BO558" t="s">
        <v>74</v>
      </c>
      <c r="BP558" t="s">
        <v>74</v>
      </c>
      <c r="BQ558" t="s">
        <v>74</v>
      </c>
      <c r="BR558" t="s">
        <v>93</v>
      </c>
      <c r="BS558" t="s">
        <v>3498</v>
      </c>
      <c r="BT558" t="str">
        <f>HYPERLINK("https%3A%2F%2Fwww.webofscience.com%2Fwos%2Fwoscc%2Ffull-record%2FWOS:000575939400001","View Full Record in Web of Science")</f>
        <v>View Full Record in Web of Science</v>
      </c>
    </row>
    <row r="559" spans="1:72" x14ac:dyDescent="0.15">
      <c r="A559" t="s">
        <v>72</v>
      </c>
      <c r="B559" t="s">
        <v>3713</v>
      </c>
      <c r="C559" t="s">
        <v>74</v>
      </c>
      <c r="D559" t="s">
        <v>74</v>
      </c>
      <c r="E559" t="s">
        <v>74</v>
      </c>
      <c r="F559" t="s">
        <v>3714</v>
      </c>
      <c r="G559" t="s">
        <v>74</v>
      </c>
      <c r="H559" t="s">
        <v>74</v>
      </c>
      <c r="I559" t="s">
        <v>3715</v>
      </c>
      <c r="J559" t="s">
        <v>3716</v>
      </c>
      <c r="K559" t="s">
        <v>74</v>
      </c>
      <c r="L559" t="s">
        <v>74</v>
      </c>
      <c r="M559" t="s">
        <v>74</v>
      </c>
      <c r="N559" t="s">
        <v>78</v>
      </c>
      <c r="O559" t="s">
        <v>74</v>
      </c>
      <c r="P559" t="s">
        <v>74</v>
      </c>
      <c r="Q559" t="s">
        <v>74</v>
      </c>
      <c r="R559" t="s">
        <v>74</v>
      </c>
      <c r="S559" t="s">
        <v>74</v>
      </c>
      <c r="T559" t="s">
        <v>3717</v>
      </c>
      <c r="U559" t="s">
        <v>3718</v>
      </c>
      <c r="V559" t="s">
        <v>3719</v>
      </c>
      <c r="W559" t="s">
        <v>3720</v>
      </c>
      <c r="X559" t="s">
        <v>3721</v>
      </c>
      <c r="Y559" t="s">
        <v>3722</v>
      </c>
      <c r="Z559" t="s">
        <v>3723</v>
      </c>
      <c r="AA559" t="s">
        <v>3724</v>
      </c>
      <c r="AB559" t="s">
        <v>3725</v>
      </c>
      <c r="AC559" t="s">
        <v>74</v>
      </c>
      <c r="AD559" t="s">
        <v>74</v>
      </c>
      <c r="AE559" t="s">
        <v>74</v>
      </c>
      <c r="AF559" t="s">
        <v>74</v>
      </c>
      <c r="AG559">
        <v>75</v>
      </c>
      <c r="AH559">
        <v>3</v>
      </c>
      <c r="AI559">
        <v>3</v>
      </c>
      <c r="AJ559">
        <v>0</v>
      </c>
      <c r="AK559">
        <v>6</v>
      </c>
      <c r="AL559" t="s">
        <v>74</v>
      </c>
      <c r="AM559" t="s">
        <v>74</v>
      </c>
      <c r="AN559" t="s">
        <v>74</v>
      </c>
      <c r="AO559" t="s">
        <v>3726</v>
      </c>
      <c r="AP559" t="s">
        <v>3727</v>
      </c>
      <c r="AQ559" t="s">
        <v>74</v>
      </c>
      <c r="AR559" t="s">
        <v>74</v>
      </c>
      <c r="AS559" t="s">
        <v>74</v>
      </c>
      <c r="AT559" t="s">
        <v>3728</v>
      </c>
      <c r="AU559">
        <v>2021</v>
      </c>
      <c r="AV559">
        <v>344</v>
      </c>
      <c r="AW559" t="s">
        <v>74</v>
      </c>
      <c r="AX559" t="s">
        <v>74</v>
      </c>
      <c r="AY559" t="s">
        <v>74</v>
      </c>
      <c r="AZ559" t="s">
        <v>74</v>
      </c>
      <c r="BA559" t="s">
        <v>74</v>
      </c>
      <c r="BB559" t="s">
        <v>74</v>
      </c>
      <c r="BC559" t="s">
        <v>74</v>
      </c>
      <c r="BD559">
        <v>109497</v>
      </c>
      <c r="BE559" t="s">
        <v>3729</v>
      </c>
      <c r="BF559" t="str">
        <f>HYPERLINK("http://dx.doi.org/10.1016/j.cbi.2021.109497","http://dx.doi.org/10.1016/j.cbi.2021.109497")</f>
        <v>http://dx.doi.org/10.1016/j.cbi.2021.109497</v>
      </c>
      <c r="BG559" t="s">
        <v>74</v>
      </c>
      <c r="BH559" t="s">
        <v>1055</v>
      </c>
      <c r="BI559" t="s">
        <v>74</v>
      </c>
      <c r="BJ559" t="s">
        <v>3730</v>
      </c>
      <c r="BK559" t="s">
        <v>112</v>
      </c>
      <c r="BL559" t="s">
        <v>3730</v>
      </c>
      <c r="BM559" t="s">
        <v>74</v>
      </c>
      <c r="BN559">
        <v>33991505</v>
      </c>
      <c r="BO559" t="s">
        <v>74</v>
      </c>
      <c r="BP559" t="s">
        <v>74</v>
      </c>
      <c r="BQ559" t="s">
        <v>74</v>
      </c>
      <c r="BR559" t="s">
        <v>93</v>
      </c>
      <c r="BS559" t="s">
        <v>3731</v>
      </c>
      <c r="BT559" t="str">
        <f>HYPERLINK("https%3A%2F%2Fwww.webofscience.com%2Fwos%2Fwoscc%2Ffull-record%2FWOS:000670220100002","View Full Record in Web of Science")</f>
        <v>View Full Record in Web of Science</v>
      </c>
    </row>
    <row r="560" spans="1:72" x14ac:dyDescent="0.15">
      <c r="A560" t="s">
        <v>72</v>
      </c>
      <c r="B560" t="s">
        <v>3828</v>
      </c>
      <c r="C560" t="s">
        <v>74</v>
      </c>
      <c r="D560" t="s">
        <v>74</v>
      </c>
      <c r="E560" t="s">
        <v>74</v>
      </c>
      <c r="F560" t="s">
        <v>3829</v>
      </c>
      <c r="G560" t="s">
        <v>74</v>
      </c>
      <c r="H560" t="s">
        <v>74</v>
      </c>
      <c r="I560" t="s">
        <v>3830</v>
      </c>
      <c r="J560" t="s">
        <v>3831</v>
      </c>
      <c r="K560" t="s">
        <v>74</v>
      </c>
      <c r="L560" t="s">
        <v>74</v>
      </c>
      <c r="M560" t="s">
        <v>74</v>
      </c>
      <c r="N560" t="s">
        <v>78</v>
      </c>
      <c r="O560" t="s">
        <v>74</v>
      </c>
      <c r="P560" t="s">
        <v>74</v>
      </c>
      <c r="Q560" t="s">
        <v>74</v>
      </c>
      <c r="R560" t="s">
        <v>74</v>
      </c>
      <c r="S560" t="s">
        <v>74</v>
      </c>
      <c r="T560" t="s">
        <v>3832</v>
      </c>
      <c r="U560" t="s">
        <v>3833</v>
      </c>
      <c r="V560" t="s">
        <v>3834</v>
      </c>
      <c r="W560" t="s">
        <v>3835</v>
      </c>
      <c r="X560" t="s">
        <v>3836</v>
      </c>
      <c r="Y560" t="s">
        <v>3837</v>
      </c>
      <c r="Z560" t="s">
        <v>3838</v>
      </c>
      <c r="AA560" t="s">
        <v>3839</v>
      </c>
      <c r="AB560" t="s">
        <v>3840</v>
      </c>
      <c r="AC560" t="s">
        <v>74</v>
      </c>
      <c r="AD560" t="s">
        <v>74</v>
      </c>
      <c r="AE560" t="s">
        <v>74</v>
      </c>
      <c r="AF560" t="s">
        <v>74</v>
      </c>
      <c r="AG560">
        <v>70</v>
      </c>
      <c r="AH560">
        <v>3</v>
      </c>
      <c r="AI560">
        <v>3</v>
      </c>
      <c r="AJ560">
        <v>3</v>
      </c>
      <c r="AK560">
        <v>16</v>
      </c>
      <c r="AL560" t="s">
        <v>74</v>
      </c>
      <c r="AM560" t="s">
        <v>74</v>
      </c>
      <c r="AN560" t="s">
        <v>74</v>
      </c>
      <c r="AO560" t="s">
        <v>3841</v>
      </c>
      <c r="AP560" t="s">
        <v>3842</v>
      </c>
      <c r="AQ560" t="s">
        <v>74</v>
      </c>
      <c r="AR560" t="s">
        <v>74</v>
      </c>
      <c r="AS560" t="s">
        <v>74</v>
      </c>
      <c r="AT560" t="s">
        <v>640</v>
      </c>
      <c r="AU560">
        <v>2021</v>
      </c>
      <c r="AV560">
        <v>161</v>
      </c>
      <c r="AW560" t="s">
        <v>74</v>
      </c>
      <c r="AX560" t="s">
        <v>74</v>
      </c>
      <c r="AY560" t="s">
        <v>74</v>
      </c>
      <c r="AZ560" t="s">
        <v>74</v>
      </c>
      <c r="BA560" t="s">
        <v>74</v>
      </c>
      <c r="BB560">
        <v>26</v>
      </c>
      <c r="BC560">
        <v>40</v>
      </c>
      <c r="BD560" t="s">
        <v>74</v>
      </c>
      <c r="BE560" t="s">
        <v>3843</v>
      </c>
      <c r="BF560" t="str">
        <f>HYPERLINK("http://dx.doi.org/10.1016/j.theriogenology.2020.11.015","http://dx.doi.org/10.1016/j.theriogenology.2020.11.015")</f>
        <v>http://dx.doi.org/10.1016/j.theriogenology.2020.11.015</v>
      </c>
      <c r="BG560" t="s">
        <v>74</v>
      </c>
      <c r="BH560" t="s">
        <v>74</v>
      </c>
      <c r="BI560" t="s">
        <v>74</v>
      </c>
      <c r="BJ560" t="s">
        <v>3844</v>
      </c>
      <c r="BK560" t="s">
        <v>112</v>
      </c>
      <c r="BL560" t="s">
        <v>3844</v>
      </c>
      <c r="BM560" t="s">
        <v>74</v>
      </c>
      <c r="BN560">
        <v>33278692</v>
      </c>
      <c r="BO560" t="s">
        <v>74</v>
      </c>
      <c r="BP560" t="s">
        <v>74</v>
      </c>
      <c r="BQ560" t="s">
        <v>74</v>
      </c>
      <c r="BR560" t="s">
        <v>93</v>
      </c>
      <c r="BS560" t="s">
        <v>3845</v>
      </c>
      <c r="BT560" t="str">
        <f>HYPERLINK("https%3A%2F%2Fwww.webofscience.com%2Fwos%2Fwoscc%2Ffull-record%2FWOS:000608745000004","View Full Record in Web of Science")</f>
        <v>View Full Record in Web of Science</v>
      </c>
    </row>
    <row r="561" spans="1:72" x14ac:dyDescent="0.15">
      <c r="A561" t="s">
        <v>72</v>
      </c>
      <c r="B561" t="s">
        <v>3953</v>
      </c>
      <c r="C561" t="s">
        <v>74</v>
      </c>
      <c r="D561" t="s">
        <v>74</v>
      </c>
      <c r="E561" t="s">
        <v>74</v>
      </c>
      <c r="F561" t="s">
        <v>3954</v>
      </c>
      <c r="G561" t="s">
        <v>74</v>
      </c>
      <c r="H561" t="s">
        <v>74</v>
      </c>
      <c r="I561" t="s">
        <v>3955</v>
      </c>
      <c r="J561" t="s">
        <v>1828</v>
      </c>
      <c r="K561" t="s">
        <v>74</v>
      </c>
      <c r="L561" t="s">
        <v>74</v>
      </c>
      <c r="M561" t="s">
        <v>74</v>
      </c>
      <c r="N561" t="s">
        <v>78</v>
      </c>
      <c r="O561" t="s">
        <v>74</v>
      </c>
      <c r="P561" t="s">
        <v>74</v>
      </c>
      <c r="Q561" t="s">
        <v>74</v>
      </c>
      <c r="R561" t="s">
        <v>74</v>
      </c>
      <c r="S561" t="s">
        <v>74</v>
      </c>
      <c r="T561" t="s">
        <v>74</v>
      </c>
      <c r="U561" t="s">
        <v>74</v>
      </c>
      <c r="V561" t="s">
        <v>3956</v>
      </c>
      <c r="W561" t="s">
        <v>3957</v>
      </c>
      <c r="X561" t="s">
        <v>3958</v>
      </c>
      <c r="Y561" t="s">
        <v>3959</v>
      </c>
      <c r="Z561" t="s">
        <v>3869</v>
      </c>
      <c r="AA561" t="s">
        <v>3960</v>
      </c>
      <c r="AB561" t="s">
        <v>3961</v>
      </c>
      <c r="AC561" t="s">
        <v>74</v>
      </c>
      <c r="AD561" t="s">
        <v>74</v>
      </c>
      <c r="AE561" t="s">
        <v>74</v>
      </c>
      <c r="AF561" t="s">
        <v>74</v>
      </c>
      <c r="AG561">
        <v>46</v>
      </c>
      <c r="AH561">
        <v>3</v>
      </c>
      <c r="AI561">
        <v>3</v>
      </c>
      <c r="AJ561">
        <v>1</v>
      </c>
      <c r="AK561">
        <v>2</v>
      </c>
      <c r="AL561" t="s">
        <v>74</v>
      </c>
      <c r="AM561" t="s">
        <v>74</v>
      </c>
      <c r="AN561" t="s">
        <v>74</v>
      </c>
      <c r="AO561" t="s">
        <v>1837</v>
      </c>
      <c r="AP561" t="s">
        <v>74</v>
      </c>
      <c r="AQ561" t="s">
        <v>74</v>
      </c>
      <c r="AR561" t="s">
        <v>74</v>
      </c>
      <c r="AS561" t="s">
        <v>74</v>
      </c>
      <c r="AT561" t="s">
        <v>3962</v>
      </c>
      <c r="AU561">
        <v>2021</v>
      </c>
      <c r="AV561">
        <v>11</v>
      </c>
      <c r="AW561">
        <v>1</v>
      </c>
      <c r="AX561" t="s">
        <v>74</v>
      </c>
      <c r="AY561" t="s">
        <v>74</v>
      </c>
      <c r="AZ561" t="s">
        <v>74</v>
      </c>
      <c r="BA561" t="s">
        <v>74</v>
      </c>
      <c r="BB561" t="s">
        <v>74</v>
      </c>
      <c r="BC561" t="s">
        <v>74</v>
      </c>
      <c r="BD561">
        <v>4016</v>
      </c>
      <c r="BE561" t="s">
        <v>3963</v>
      </c>
      <c r="BF561" t="str">
        <f>HYPERLINK("http://dx.doi.org/10.1038/s41598-021-83436-1","http://dx.doi.org/10.1038/s41598-021-83436-1")</f>
        <v>http://dx.doi.org/10.1038/s41598-021-83436-1</v>
      </c>
      <c r="BG561" t="s">
        <v>74</v>
      </c>
      <c r="BH561" t="s">
        <v>74</v>
      </c>
      <c r="BI561" t="s">
        <v>74</v>
      </c>
      <c r="BJ561" t="s">
        <v>545</v>
      </c>
      <c r="BK561" t="s">
        <v>112</v>
      </c>
      <c r="BL561" t="s">
        <v>546</v>
      </c>
      <c r="BM561" t="s">
        <v>74</v>
      </c>
      <c r="BN561">
        <v>33597619</v>
      </c>
      <c r="BO561" t="s">
        <v>74</v>
      </c>
      <c r="BP561" t="s">
        <v>74</v>
      </c>
      <c r="BQ561" t="s">
        <v>74</v>
      </c>
      <c r="BR561" t="s">
        <v>93</v>
      </c>
      <c r="BS561" t="s">
        <v>3964</v>
      </c>
      <c r="BT561" t="str">
        <f>HYPERLINK("https%3A%2F%2Fwww.webofscience.com%2Fwos%2Fwoscc%2Ffull-record%2FWOS:000621344600041","View Full Record in Web of Science")</f>
        <v>View Full Record in Web of Science</v>
      </c>
    </row>
    <row r="562" spans="1:72" x14ac:dyDescent="0.15">
      <c r="A562" t="s">
        <v>72</v>
      </c>
      <c r="B562" t="s">
        <v>4051</v>
      </c>
      <c r="C562" t="s">
        <v>74</v>
      </c>
      <c r="D562" t="s">
        <v>74</v>
      </c>
      <c r="E562" t="s">
        <v>74</v>
      </c>
      <c r="F562" t="s">
        <v>4052</v>
      </c>
      <c r="G562" t="s">
        <v>74</v>
      </c>
      <c r="H562" t="s">
        <v>74</v>
      </c>
      <c r="I562" t="s">
        <v>4053</v>
      </c>
      <c r="J562" t="s">
        <v>4054</v>
      </c>
      <c r="K562" t="s">
        <v>74</v>
      </c>
      <c r="L562" t="s">
        <v>74</v>
      </c>
      <c r="M562" t="s">
        <v>74</v>
      </c>
      <c r="N562" t="s">
        <v>78</v>
      </c>
      <c r="O562" t="s">
        <v>74</v>
      </c>
      <c r="P562" t="s">
        <v>74</v>
      </c>
      <c r="Q562" t="s">
        <v>74</v>
      </c>
      <c r="R562" t="s">
        <v>74</v>
      </c>
      <c r="S562" t="s">
        <v>74</v>
      </c>
      <c r="T562" t="s">
        <v>4055</v>
      </c>
      <c r="U562" t="s">
        <v>74</v>
      </c>
      <c r="V562" t="s">
        <v>4056</v>
      </c>
      <c r="W562" t="s">
        <v>4057</v>
      </c>
      <c r="X562" t="s">
        <v>4058</v>
      </c>
      <c r="Y562" t="s">
        <v>4059</v>
      </c>
      <c r="Z562" t="s">
        <v>4060</v>
      </c>
      <c r="AA562" t="s">
        <v>74</v>
      </c>
      <c r="AB562" t="s">
        <v>74</v>
      </c>
      <c r="AC562" t="s">
        <v>74</v>
      </c>
      <c r="AD562" t="s">
        <v>74</v>
      </c>
      <c r="AE562" t="s">
        <v>74</v>
      </c>
      <c r="AF562" t="s">
        <v>74</v>
      </c>
      <c r="AG562">
        <v>46</v>
      </c>
      <c r="AH562">
        <v>3</v>
      </c>
      <c r="AI562">
        <v>3</v>
      </c>
      <c r="AJ562">
        <v>3</v>
      </c>
      <c r="AK562">
        <v>9</v>
      </c>
      <c r="AL562" t="s">
        <v>74</v>
      </c>
      <c r="AM562" t="s">
        <v>74</v>
      </c>
      <c r="AN562" t="s">
        <v>74</v>
      </c>
      <c r="AO562" t="s">
        <v>74</v>
      </c>
      <c r="AP562" t="s">
        <v>4061</v>
      </c>
      <c r="AQ562" t="s">
        <v>74</v>
      </c>
      <c r="AR562" t="s">
        <v>74</v>
      </c>
      <c r="AS562" t="s">
        <v>74</v>
      </c>
      <c r="AT562" t="s">
        <v>4062</v>
      </c>
      <c r="AU562">
        <v>2021</v>
      </c>
      <c r="AV562">
        <v>21</v>
      </c>
      <c r="AW562">
        <v>1</v>
      </c>
      <c r="AX562" t="s">
        <v>74</v>
      </c>
      <c r="AY562" t="s">
        <v>74</v>
      </c>
      <c r="AZ562" t="s">
        <v>74</v>
      </c>
      <c r="BA562" t="s">
        <v>74</v>
      </c>
      <c r="BB562" t="s">
        <v>74</v>
      </c>
      <c r="BC562" t="s">
        <v>74</v>
      </c>
      <c r="BD562">
        <v>185</v>
      </c>
      <c r="BE562" t="s">
        <v>4063</v>
      </c>
      <c r="BF562" t="str">
        <f>HYPERLINK("http://dx.doi.org/10.1186/s12935-021-01881-4","http://dx.doi.org/10.1186/s12935-021-01881-4")</f>
        <v>http://dx.doi.org/10.1186/s12935-021-01881-4</v>
      </c>
      <c r="BG562" t="s">
        <v>74</v>
      </c>
      <c r="BH562" t="s">
        <v>74</v>
      </c>
      <c r="BI562" t="s">
        <v>74</v>
      </c>
      <c r="BJ562" t="s">
        <v>146</v>
      </c>
      <c r="BK562" t="s">
        <v>112</v>
      </c>
      <c r="BL562" t="s">
        <v>146</v>
      </c>
      <c r="BM562" t="s">
        <v>74</v>
      </c>
      <c r="BN562">
        <v>33789676</v>
      </c>
      <c r="BO562" t="s">
        <v>74</v>
      </c>
      <c r="BP562" t="s">
        <v>74</v>
      </c>
      <c r="BQ562" t="s">
        <v>74</v>
      </c>
      <c r="BR562" t="s">
        <v>93</v>
      </c>
      <c r="BS562" t="s">
        <v>4064</v>
      </c>
      <c r="BT562" t="str">
        <f>HYPERLINK("https%3A%2F%2Fwww.webofscience.com%2Fwos%2Fwoscc%2Ffull-record%2FWOS:000636450600001","View Full Record in Web of Science")</f>
        <v>View Full Record in Web of Science</v>
      </c>
    </row>
    <row r="563" spans="1:72" x14ac:dyDescent="0.15">
      <c r="A563" t="s">
        <v>72</v>
      </c>
      <c r="B563" t="s">
        <v>4118</v>
      </c>
      <c r="C563" t="s">
        <v>74</v>
      </c>
      <c r="D563" t="s">
        <v>74</v>
      </c>
      <c r="E563" t="s">
        <v>74</v>
      </c>
      <c r="F563" t="s">
        <v>4119</v>
      </c>
      <c r="G563" t="s">
        <v>74</v>
      </c>
      <c r="H563" t="s">
        <v>74</v>
      </c>
      <c r="I563" t="s">
        <v>4120</v>
      </c>
      <c r="J563" t="s">
        <v>2013</v>
      </c>
      <c r="K563" t="s">
        <v>74</v>
      </c>
      <c r="L563" t="s">
        <v>74</v>
      </c>
      <c r="M563" t="s">
        <v>74</v>
      </c>
      <c r="N563" t="s">
        <v>78</v>
      </c>
      <c r="O563" t="s">
        <v>74</v>
      </c>
      <c r="P563" t="s">
        <v>74</v>
      </c>
      <c r="Q563" t="s">
        <v>74</v>
      </c>
      <c r="R563" t="s">
        <v>74</v>
      </c>
      <c r="S563" t="s">
        <v>74</v>
      </c>
      <c r="T563" t="s">
        <v>74</v>
      </c>
      <c r="U563" t="s">
        <v>4121</v>
      </c>
      <c r="V563" t="s">
        <v>4122</v>
      </c>
      <c r="W563" t="s">
        <v>4123</v>
      </c>
      <c r="X563" t="s">
        <v>4124</v>
      </c>
      <c r="Y563" t="s">
        <v>4125</v>
      </c>
      <c r="Z563" t="s">
        <v>4126</v>
      </c>
      <c r="AA563" t="s">
        <v>74</v>
      </c>
      <c r="AB563" t="s">
        <v>3528</v>
      </c>
      <c r="AC563" t="s">
        <v>74</v>
      </c>
      <c r="AD563" t="s">
        <v>74</v>
      </c>
      <c r="AE563" t="s">
        <v>74</v>
      </c>
      <c r="AF563" t="s">
        <v>74</v>
      </c>
      <c r="AG563">
        <v>34</v>
      </c>
      <c r="AH563">
        <v>3</v>
      </c>
      <c r="AI563">
        <v>3</v>
      </c>
      <c r="AJ563">
        <v>13</v>
      </c>
      <c r="AK563">
        <v>52</v>
      </c>
      <c r="AL563" t="s">
        <v>74</v>
      </c>
      <c r="AM563" t="s">
        <v>74</v>
      </c>
      <c r="AN563" t="s">
        <v>74</v>
      </c>
      <c r="AO563" t="s">
        <v>2022</v>
      </c>
      <c r="AP563" t="s">
        <v>2023</v>
      </c>
      <c r="AQ563" t="s">
        <v>74</v>
      </c>
      <c r="AR563" t="s">
        <v>74</v>
      </c>
      <c r="AS563" t="s">
        <v>74</v>
      </c>
      <c r="AT563" t="s">
        <v>4127</v>
      </c>
      <c r="AU563">
        <v>2021</v>
      </c>
      <c r="AV563">
        <v>93</v>
      </c>
      <c r="AW563">
        <v>28</v>
      </c>
      <c r="AX563" t="s">
        <v>74</v>
      </c>
      <c r="AY563" t="s">
        <v>74</v>
      </c>
      <c r="AZ563" t="s">
        <v>74</v>
      </c>
      <c r="BA563" t="s">
        <v>74</v>
      </c>
      <c r="BB563">
        <v>9860</v>
      </c>
      <c r="BC563">
        <v>9868</v>
      </c>
      <c r="BD563" t="s">
        <v>74</v>
      </c>
      <c r="BE563" t="s">
        <v>4128</v>
      </c>
      <c r="BF563" t="str">
        <f>HYPERLINK("http://dx.doi.org/10.1021/acs.analchem.1c01712","http://dx.doi.org/10.1021/acs.analchem.1c01712")</f>
        <v>http://dx.doi.org/10.1021/acs.analchem.1c01712</v>
      </c>
      <c r="BG563" t="s">
        <v>74</v>
      </c>
      <c r="BH563" t="s">
        <v>1005</v>
      </c>
      <c r="BI563" t="s">
        <v>74</v>
      </c>
      <c r="BJ563" t="s">
        <v>1196</v>
      </c>
      <c r="BK563" t="s">
        <v>112</v>
      </c>
      <c r="BL563" t="s">
        <v>1197</v>
      </c>
      <c r="BM563" t="s">
        <v>74</v>
      </c>
      <c r="BN563">
        <v>34247486</v>
      </c>
      <c r="BO563" t="s">
        <v>74</v>
      </c>
      <c r="BP563" t="s">
        <v>74</v>
      </c>
      <c r="BQ563" t="s">
        <v>74</v>
      </c>
      <c r="BR563" t="s">
        <v>93</v>
      </c>
      <c r="BS563" t="s">
        <v>4129</v>
      </c>
      <c r="BT563" t="str">
        <f>HYPERLINK("https%3A%2F%2Fwww.webofscience.com%2Fwos%2Fwoscc%2Ffull-record%2FWOS:000677481700025","View Full Record in Web of Science")</f>
        <v>View Full Record in Web of Science</v>
      </c>
    </row>
    <row r="564" spans="1:72" x14ac:dyDescent="0.15">
      <c r="A564" t="s">
        <v>72</v>
      </c>
      <c r="B564" t="s">
        <v>4247</v>
      </c>
      <c r="C564" t="s">
        <v>74</v>
      </c>
      <c r="D564" t="s">
        <v>74</v>
      </c>
      <c r="E564" t="s">
        <v>74</v>
      </c>
      <c r="F564" t="s">
        <v>4248</v>
      </c>
      <c r="G564" t="s">
        <v>74</v>
      </c>
      <c r="H564" t="s">
        <v>74</v>
      </c>
      <c r="I564" t="s">
        <v>4249</v>
      </c>
      <c r="J564" t="s">
        <v>3034</v>
      </c>
      <c r="K564" t="s">
        <v>74</v>
      </c>
      <c r="L564" t="s">
        <v>74</v>
      </c>
      <c r="M564" t="s">
        <v>74</v>
      </c>
      <c r="N564" t="s">
        <v>78</v>
      </c>
      <c r="O564" t="s">
        <v>74</v>
      </c>
      <c r="P564" t="s">
        <v>74</v>
      </c>
      <c r="Q564" t="s">
        <v>74</v>
      </c>
      <c r="R564" t="s">
        <v>74</v>
      </c>
      <c r="S564" t="s">
        <v>74</v>
      </c>
      <c r="T564" t="s">
        <v>4250</v>
      </c>
      <c r="U564" t="s">
        <v>74</v>
      </c>
      <c r="V564" t="s">
        <v>4251</v>
      </c>
      <c r="W564" t="s">
        <v>4252</v>
      </c>
      <c r="X564" t="s">
        <v>4253</v>
      </c>
      <c r="Y564" t="s">
        <v>4254</v>
      </c>
      <c r="Z564" t="s">
        <v>4255</v>
      </c>
      <c r="AA564" t="s">
        <v>74</v>
      </c>
      <c r="AB564" t="s">
        <v>4256</v>
      </c>
      <c r="AC564" t="s">
        <v>74</v>
      </c>
      <c r="AD564" t="s">
        <v>74</v>
      </c>
      <c r="AE564" t="s">
        <v>74</v>
      </c>
      <c r="AF564" t="s">
        <v>74</v>
      </c>
      <c r="AG564">
        <v>55</v>
      </c>
      <c r="AH564">
        <v>3</v>
      </c>
      <c r="AI564">
        <v>3</v>
      </c>
      <c r="AJ564">
        <v>0</v>
      </c>
      <c r="AK564">
        <v>2</v>
      </c>
      <c r="AL564" t="s">
        <v>74</v>
      </c>
      <c r="AM564" t="s">
        <v>74</v>
      </c>
      <c r="AN564" t="s">
        <v>74</v>
      </c>
      <c r="AO564" t="s">
        <v>3042</v>
      </c>
      <c r="AP564" t="s">
        <v>3043</v>
      </c>
      <c r="AQ564" t="s">
        <v>74</v>
      </c>
      <c r="AR564" t="s">
        <v>74</v>
      </c>
      <c r="AS564" t="s">
        <v>74</v>
      </c>
      <c r="AT564" t="s">
        <v>129</v>
      </c>
      <c r="AU564">
        <v>2021</v>
      </c>
      <c r="AV564">
        <v>1865</v>
      </c>
      <c r="AW564">
        <v>4</v>
      </c>
      <c r="AX564" t="s">
        <v>74</v>
      </c>
      <c r="AY564" t="s">
        <v>74</v>
      </c>
      <c r="AZ564" t="s">
        <v>1075</v>
      </c>
      <c r="BA564" t="s">
        <v>74</v>
      </c>
      <c r="BB564" t="s">
        <v>74</v>
      </c>
      <c r="BC564" t="s">
        <v>74</v>
      </c>
      <c r="BD564">
        <v>129798</v>
      </c>
      <c r="BE564" t="s">
        <v>4257</v>
      </c>
      <c r="BF564" t="str">
        <f>HYPERLINK("http://dx.doi.org/10.1016/j.bbagen.2020.129798","http://dx.doi.org/10.1016/j.bbagen.2020.129798")</f>
        <v>http://dx.doi.org/10.1016/j.bbagen.2020.129798</v>
      </c>
      <c r="BG564" t="s">
        <v>74</v>
      </c>
      <c r="BH564" t="s">
        <v>4258</v>
      </c>
      <c r="BI564" t="s">
        <v>74</v>
      </c>
      <c r="BJ564" t="s">
        <v>2701</v>
      </c>
      <c r="BK564" t="s">
        <v>112</v>
      </c>
      <c r="BL564" t="s">
        <v>2701</v>
      </c>
      <c r="BM564" t="s">
        <v>74</v>
      </c>
      <c r="BN564">
        <v>33217521</v>
      </c>
      <c r="BO564" t="s">
        <v>74</v>
      </c>
      <c r="BP564" t="s">
        <v>74</v>
      </c>
      <c r="BQ564" t="s">
        <v>74</v>
      </c>
      <c r="BR564" t="s">
        <v>93</v>
      </c>
      <c r="BS564" t="s">
        <v>4259</v>
      </c>
      <c r="BT564" t="str">
        <f>HYPERLINK("https%3A%2F%2Fwww.webofscience.com%2Fwos%2Fwoscc%2Ffull-record%2FWOS:000637333900013","View Full Record in Web of Science")</f>
        <v>View Full Record in Web of Science</v>
      </c>
    </row>
    <row r="565" spans="1:72" x14ac:dyDescent="0.15">
      <c r="A565" t="s">
        <v>72</v>
      </c>
      <c r="B565" t="s">
        <v>5745</v>
      </c>
      <c r="C565" t="s">
        <v>74</v>
      </c>
      <c r="D565" t="s">
        <v>74</v>
      </c>
      <c r="E565" t="s">
        <v>74</v>
      </c>
      <c r="F565" t="s">
        <v>5746</v>
      </c>
      <c r="G565" t="s">
        <v>74</v>
      </c>
      <c r="H565" t="s">
        <v>74</v>
      </c>
      <c r="I565" t="s">
        <v>5747</v>
      </c>
      <c r="J565" t="s">
        <v>5748</v>
      </c>
      <c r="K565" t="s">
        <v>74</v>
      </c>
      <c r="L565" t="s">
        <v>74</v>
      </c>
      <c r="M565" t="s">
        <v>74</v>
      </c>
      <c r="N565" t="s">
        <v>78</v>
      </c>
      <c r="O565" t="s">
        <v>74</v>
      </c>
      <c r="P565" t="s">
        <v>74</v>
      </c>
      <c r="Q565" t="s">
        <v>74</v>
      </c>
      <c r="R565" t="s">
        <v>74</v>
      </c>
      <c r="S565" t="s">
        <v>74</v>
      </c>
      <c r="T565" t="s">
        <v>5749</v>
      </c>
      <c r="U565" t="s">
        <v>5750</v>
      </c>
      <c r="V565" t="s">
        <v>5751</v>
      </c>
      <c r="W565" t="s">
        <v>5752</v>
      </c>
      <c r="X565" t="s">
        <v>5753</v>
      </c>
      <c r="Y565" t="s">
        <v>5754</v>
      </c>
      <c r="Z565" t="s">
        <v>5755</v>
      </c>
      <c r="AA565" t="s">
        <v>74</v>
      </c>
      <c r="AB565" t="s">
        <v>74</v>
      </c>
      <c r="AC565" t="s">
        <v>74</v>
      </c>
      <c r="AD565" t="s">
        <v>74</v>
      </c>
      <c r="AE565" t="s">
        <v>74</v>
      </c>
      <c r="AF565" t="s">
        <v>74</v>
      </c>
      <c r="AG565">
        <v>62</v>
      </c>
      <c r="AH565">
        <v>3</v>
      </c>
      <c r="AI565">
        <v>3</v>
      </c>
      <c r="AJ565">
        <v>4</v>
      </c>
      <c r="AK565">
        <v>6</v>
      </c>
      <c r="AL565" t="s">
        <v>74</v>
      </c>
      <c r="AM565" t="s">
        <v>74</v>
      </c>
      <c r="AN565" t="s">
        <v>74</v>
      </c>
      <c r="AO565" t="s">
        <v>5756</v>
      </c>
      <c r="AP565" t="s">
        <v>74</v>
      </c>
      <c r="AQ565" t="s">
        <v>74</v>
      </c>
      <c r="AR565" t="s">
        <v>74</v>
      </c>
      <c r="AS565" t="s">
        <v>74</v>
      </c>
      <c r="AT565" t="s">
        <v>108</v>
      </c>
      <c r="AU565">
        <v>2022</v>
      </c>
      <c r="AV565">
        <v>70</v>
      </c>
      <c r="AW565">
        <v>1</v>
      </c>
      <c r="AX565" t="s">
        <v>74</v>
      </c>
      <c r="AY565" t="s">
        <v>74</v>
      </c>
      <c r="AZ565" t="s">
        <v>74</v>
      </c>
      <c r="BA565" t="s">
        <v>74</v>
      </c>
      <c r="BB565" t="s">
        <v>74</v>
      </c>
      <c r="BC565" t="s">
        <v>74</v>
      </c>
      <c r="BD565">
        <v>103315</v>
      </c>
      <c r="BE565" t="s">
        <v>5757</v>
      </c>
      <c r="BF565" t="str">
        <f>HYPERLINK("http://dx.doi.org/10.1016/j.retram.2021.103315","http://dx.doi.org/10.1016/j.retram.2021.103315")</f>
        <v>http://dx.doi.org/10.1016/j.retram.2021.103315</v>
      </c>
      <c r="BG565" t="s">
        <v>74</v>
      </c>
      <c r="BH565" t="s">
        <v>74</v>
      </c>
      <c r="BI565" t="s">
        <v>74</v>
      </c>
      <c r="BJ565" t="s">
        <v>506</v>
      </c>
      <c r="BK565" t="s">
        <v>112</v>
      </c>
      <c r="BL565" t="s">
        <v>507</v>
      </c>
      <c r="BM565" t="s">
        <v>74</v>
      </c>
      <c r="BN565">
        <v>34837760</v>
      </c>
      <c r="BO565" t="s">
        <v>74</v>
      </c>
      <c r="BP565" t="s">
        <v>74</v>
      </c>
      <c r="BQ565" t="s">
        <v>74</v>
      </c>
      <c r="BR565" t="s">
        <v>93</v>
      </c>
      <c r="BS565" t="s">
        <v>5758</v>
      </c>
      <c r="BT565" t="str">
        <f>HYPERLINK("https%3A%2F%2Fwww.webofscience.com%2Fwos%2Fwoscc%2Ffull-record%2FWOS:000778720100002","View Full Record in Web of Science")</f>
        <v>View Full Record in Web of Science</v>
      </c>
    </row>
    <row r="566" spans="1:72" x14ac:dyDescent="0.15">
      <c r="A566" t="s">
        <v>72</v>
      </c>
      <c r="B566" t="s">
        <v>6252</v>
      </c>
      <c r="C566" t="s">
        <v>74</v>
      </c>
      <c r="D566" t="s">
        <v>74</v>
      </c>
      <c r="E566" t="s">
        <v>74</v>
      </c>
      <c r="F566" t="s">
        <v>6253</v>
      </c>
      <c r="G566" t="s">
        <v>74</v>
      </c>
      <c r="H566" t="s">
        <v>74</v>
      </c>
      <c r="I566" t="s">
        <v>6254</v>
      </c>
      <c r="J566" t="s">
        <v>6255</v>
      </c>
      <c r="K566" t="s">
        <v>74</v>
      </c>
      <c r="L566" t="s">
        <v>74</v>
      </c>
      <c r="M566" t="s">
        <v>74</v>
      </c>
      <c r="N566" t="s">
        <v>78</v>
      </c>
      <c r="O566" t="s">
        <v>74</v>
      </c>
      <c r="P566" t="s">
        <v>74</v>
      </c>
      <c r="Q566" t="s">
        <v>74</v>
      </c>
      <c r="R566" t="s">
        <v>74</v>
      </c>
      <c r="S566" t="s">
        <v>74</v>
      </c>
      <c r="T566" t="s">
        <v>6256</v>
      </c>
      <c r="U566" t="s">
        <v>6257</v>
      </c>
      <c r="V566" t="s">
        <v>6258</v>
      </c>
      <c r="W566" t="s">
        <v>6259</v>
      </c>
      <c r="X566" t="s">
        <v>6260</v>
      </c>
      <c r="Y566" t="s">
        <v>6261</v>
      </c>
      <c r="Z566" t="s">
        <v>5656</v>
      </c>
      <c r="AA566" t="s">
        <v>5657</v>
      </c>
      <c r="AB566" t="s">
        <v>5658</v>
      </c>
      <c r="AC566" t="s">
        <v>74</v>
      </c>
      <c r="AD566" t="s">
        <v>74</v>
      </c>
      <c r="AE566" t="s">
        <v>74</v>
      </c>
      <c r="AF566" t="s">
        <v>74</v>
      </c>
      <c r="AG566">
        <v>64</v>
      </c>
      <c r="AH566">
        <v>3</v>
      </c>
      <c r="AI566">
        <v>3</v>
      </c>
      <c r="AJ566">
        <v>1</v>
      </c>
      <c r="AK566">
        <v>8</v>
      </c>
      <c r="AL566" t="s">
        <v>74</v>
      </c>
      <c r="AM566" t="s">
        <v>74</v>
      </c>
      <c r="AN566" t="s">
        <v>74</v>
      </c>
      <c r="AO566" t="s">
        <v>6262</v>
      </c>
      <c r="AP566" t="s">
        <v>74</v>
      </c>
      <c r="AQ566" t="s">
        <v>74</v>
      </c>
      <c r="AR566" t="s">
        <v>74</v>
      </c>
      <c r="AS566" t="s">
        <v>74</v>
      </c>
      <c r="AT566" t="s">
        <v>171</v>
      </c>
      <c r="AU566">
        <v>2020</v>
      </c>
      <c r="AV566">
        <v>149</v>
      </c>
      <c r="AW566" t="s">
        <v>74</v>
      </c>
      <c r="AX566" t="s">
        <v>74</v>
      </c>
      <c r="AY566" t="s">
        <v>74</v>
      </c>
      <c r="AZ566" t="s">
        <v>74</v>
      </c>
      <c r="BA566" t="s">
        <v>74</v>
      </c>
      <c r="BB566" t="s">
        <v>74</v>
      </c>
      <c r="BC566" t="s">
        <v>74</v>
      </c>
      <c r="BD566">
        <v>104260</v>
      </c>
      <c r="BE566" t="s">
        <v>6263</v>
      </c>
      <c r="BF566" t="str">
        <f>HYPERLINK("http://dx.doi.org/10.1016/j.micpath.2020.104260","http://dx.doi.org/10.1016/j.micpath.2020.104260")</f>
        <v>http://dx.doi.org/10.1016/j.micpath.2020.104260</v>
      </c>
      <c r="BG566" t="s">
        <v>74</v>
      </c>
      <c r="BH566" t="s">
        <v>74</v>
      </c>
      <c r="BI566" t="s">
        <v>74</v>
      </c>
      <c r="BJ566" t="s">
        <v>2089</v>
      </c>
      <c r="BK566" t="s">
        <v>112</v>
      </c>
      <c r="BL566" t="s">
        <v>2089</v>
      </c>
      <c r="BM566" t="s">
        <v>74</v>
      </c>
      <c r="BN566">
        <v>32554054</v>
      </c>
      <c r="BO566" t="s">
        <v>74</v>
      </c>
      <c r="BP566" t="s">
        <v>74</v>
      </c>
      <c r="BQ566" t="s">
        <v>74</v>
      </c>
      <c r="BR566" t="s">
        <v>93</v>
      </c>
      <c r="BS566" t="s">
        <v>6264</v>
      </c>
      <c r="BT566" t="str">
        <f>HYPERLINK("https%3A%2F%2Fwww.webofscience.com%2Fwos%2Fwoscc%2Ffull-record%2FWOS:000599710800007","View Full Record in Web of Science")</f>
        <v>View Full Record in Web of Science</v>
      </c>
    </row>
    <row r="567" spans="1:72" x14ac:dyDescent="0.15">
      <c r="A567" t="s">
        <v>72</v>
      </c>
      <c r="B567" t="s">
        <v>6748</v>
      </c>
      <c r="C567" t="s">
        <v>74</v>
      </c>
      <c r="D567" t="s">
        <v>74</v>
      </c>
      <c r="E567" t="s">
        <v>74</v>
      </c>
      <c r="F567" t="s">
        <v>6749</v>
      </c>
      <c r="G567" t="s">
        <v>74</v>
      </c>
      <c r="H567" t="s">
        <v>74</v>
      </c>
      <c r="I567" t="s">
        <v>6750</v>
      </c>
      <c r="J567" t="s">
        <v>6751</v>
      </c>
      <c r="K567" t="s">
        <v>74</v>
      </c>
      <c r="L567" t="s">
        <v>74</v>
      </c>
      <c r="M567" t="s">
        <v>74</v>
      </c>
      <c r="N567" t="s">
        <v>78</v>
      </c>
      <c r="O567" t="s">
        <v>74</v>
      </c>
      <c r="P567" t="s">
        <v>74</v>
      </c>
      <c r="Q567" t="s">
        <v>74</v>
      </c>
      <c r="R567" t="s">
        <v>74</v>
      </c>
      <c r="S567" t="s">
        <v>74</v>
      </c>
      <c r="T567" t="s">
        <v>6752</v>
      </c>
      <c r="U567" t="s">
        <v>6753</v>
      </c>
      <c r="V567" t="s">
        <v>6754</v>
      </c>
      <c r="W567" t="s">
        <v>6755</v>
      </c>
      <c r="X567" t="s">
        <v>6756</v>
      </c>
      <c r="Y567" t="s">
        <v>6757</v>
      </c>
      <c r="Z567" t="s">
        <v>6758</v>
      </c>
      <c r="AA567" t="s">
        <v>6759</v>
      </c>
      <c r="AB567" t="s">
        <v>6760</v>
      </c>
      <c r="AC567" t="s">
        <v>74</v>
      </c>
      <c r="AD567" t="s">
        <v>74</v>
      </c>
      <c r="AE567" t="s">
        <v>74</v>
      </c>
      <c r="AF567" t="s">
        <v>74</v>
      </c>
      <c r="AG567">
        <v>36</v>
      </c>
      <c r="AH567">
        <v>3</v>
      </c>
      <c r="AI567">
        <v>3</v>
      </c>
      <c r="AJ567">
        <v>0</v>
      </c>
      <c r="AK567">
        <v>1</v>
      </c>
      <c r="AL567" t="s">
        <v>74</v>
      </c>
      <c r="AM567" t="s">
        <v>74</v>
      </c>
      <c r="AN567" t="s">
        <v>74</v>
      </c>
      <c r="AO567" t="s">
        <v>6761</v>
      </c>
      <c r="AP567" t="s">
        <v>6762</v>
      </c>
      <c r="AQ567" t="s">
        <v>74</v>
      </c>
      <c r="AR567" t="s">
        <v>74</v>
      </c>
      <c r="AS567" t="s">
        <v>74</v>
      </c>
      <c r="AT567" t="s">
        <v>659</v>
      </c>
      <c r="AU567">
        <v>2021</v>
      </c>
      <c r="AV567">
        <v>15</v>
      </c>
      <c r="AW567">
        <v>9</v>
      </c>
      <c r="AX567" t="s">
        <v>74</v>
      </c>
      <c r="AY567" t="s">
        <v>74</v>
      </c>
      <c r="AZ567" t="s">
        <v>74</v>
      </c>
      <c r="BA567" t="s">
        <v>74</v>
      </c>
      <c r="BB567">
        <v>2423</v>
      </c>
      <c r="BC567">
        <v>2438</v>
      </c>
      <c r="BD567" t="s">
        <v>74</v>
      </c>
      <c r="BE567" t="s">
        <v>6763</v>
      </c>
      <c r="BF567" t="str">
        <f>HYPERLINK("http://dx.doi.org/10.1002/1878-0261.12976","http://dx.doi.org/10.1002/1878-0261.12976")</f>
        <v>http://dx.doi.org/10.1002/1878-0261.12976</v>
      </c>
      <c r="BG567" t="s">
        <v>74</v>
      </c>
      <c r="BH567" t="s">
        <v>1055</v>
      </c>
      <c r="BI567" t="s">
        <v>74</v>
      </c>
      <c r="BJ567" t="s">
        <v>146</v>
      </c>
      <c r="BK567" t="s">
        <v>112</v>
      </c>
      <c r="BL567" t="s">
        <v>146</v>
      </c>
      <c r="BM567" t="s">
        <v>74</v>
      </c>
      <c r="BN567">
        <v>33942501</v>
      </c>
      <c r="BO567" t="s">
        <v>74</v>
      </c>
      <c r="BP567" t="s">
        <v>74</v>
      </c>
      <c r="BQ567" t="s">
        <v>74</v>
      </c>
      <c r="BR567" t="s">
        <v>93</v>
      </c>
      <c r="BS567" t="s">
        <v>6764</v>
      </c>
      <c r="BT567" t="str">
        <f>HYPERLINK("https%3A%2F%2Fwww.webofscience.com%2Fwos%2Fwoscc%2Ffull-record%2FWOS:000652361600001","View Full Record in Web of Science")</f>
        <v>View Full Record in Web of Science</v>
      </c>
    </row>
    <row r="568" spans="1:72" x14ac:dyDescent="0.15">
      <c r="A568" t="s">
        <v>72</v>
      </c>
      <c r="B568" t="s">
        <v>6765</v>
      </c>
      <c r="C568" t="s">
        <v>74</v>
      </c>
      <c r="D568" t="s">
        <v>74</v>
      </c>
      <c r="E568" t="s">
        <v>74</v>
      </c>
      <c r="F568" t="s">
        <v>6766</v>
      </c>
      <c r="G568" t="s">
        <v>74</v>
      </c>
      <c r="H568" t="s">
        <v>74</v>
      </c>
      <c r="I568" t="s">
        <v>6767</v>
      </c>
      <c r="J568" t="s">
        <v>6295</v>
      </c>
      <c r="K568" t="s">
        <v>74</v>
      </c>
      <c r="L568" t="s">
        <v>74</v>
      </c>
      <c r="M568" t="s">
        <v>74</v>
      </c>
      <c r="N568" t="s">
        <v>78</v>
      </c>
      <c r="O568" t="s">
        <v>74</v>
      </c>
      <c r="P568" t="s">
        <v>74</v>
      </c>
      <c r="Q568" t="s">
        <v>74</v>
      </c>
      <c r="R568" t="s">
        <v>74</v>
      </c>
      <c r="S568" t="s">
        <v>74</v>
      </c>
      <c r="T568" t="s">
        <v>6768</v>
      </c>
      <c r="U568" t="s">
        <v>6769</v>
      </c>
      <c r="V568" t="s">
        <v>6770</v>
      </c>
      <c r="W568" t="s">
        <v>6771</v>
      </c>
      <c r="X568" t="s">
        <v>6772</v>
      </c>
      <c r="Y568" t="s">
        <v>6773</v>
      </c>
      <c r="Z568" t="s">
        <v>6774</v>
      </c>
      <c r="AA568" t="s">
        <v>6775</v>
      </c>
      <c r="AB568" t="s">
        <v>6776</v>
      </c>
      <c r="AC568" t="s">
        <v>74</v>
      </c>
      <c r="AD568" t="s">
        <v>74</v>
      </c>
      <c r="AE568" t="s">
        <v>74</v>
      </c>
      <c r="AF568" t="s">
        <v>74</v>
      </c>
      <c r="AG568">
        <v>18</v>
      </c>
      <c r="AH568">
        <v>3</v>
      </c>
      <c r="AI568">
        <v>3</v>
      </c>
      <c r="AJ568">
        <v>0</v>
      </c>
      <c r="AK568">
        <v>22</v>
      </c>
      <c r="AL568" t="s">
        <v>74</v>
      </c>
      <c r="AM568" t="s">
        <v>74</v>
      </c>
      <c r="AN568" t="s">
        <v>74</v>
      </c>
      <c r="AO568" t="s">
        <v>6305</v>
      </c>
      <c r="AP568" t="s">
        <v>6306</v>
      </c>
      <c r="AQ568" t="s">
        <v>74</v>
      </c>
      <c r="AR568" t="s">
        <v>74</v>
      </c>
      <c r="AS568" t="s">
        <v>74</v>
      </c>
      <c r="AT568" t="s">
        <v>108</v>
      </c>
      <c r="AU568">
        <v>2014</v>
      </c>
      <c r="AV568">
        <v>48</v>
      </c>
      <c r="AW568">
        <v>1</v>
      </c>
      <c r="AX568" t="s">
        <v>74</v>
      </c>
      <c r="AY568" t="s">
        <v>74</v>
      </c>
      <c r="AZ568" t="s">
        <v>74</v>
      </c>
      <c r="BA568" t="s">
        <v>74</v>
      </c>
      <c r="BB568">
        <v>99</v>
      </c>
      <c r="BC568">
        <v>104</v>
      </c>
      <c r="BD568" t="s">
        <v>74</v>
      </c>
      <c r="BE568" t="s">
        <v>6777</v>
      </c>
      <c r="BF568" t="str">
        <f>HYPERLINK("http://dx.doi.org/10.1134/S0026893313060095","http://dx.doi.org/10.1134/S0026893313060095")</f>
        <v>http://dx.doi.org/10.1134/S0026893313060095</v>
      </c>
      <c r="BG568" t="s">
        <v>74</v>
      </c>
      <c r="BH568" t="s">
        <v>74</v>
      </c>
      <c r="BI568" t="s">
        <v>74</v>
      </c>
      <c r="BJ568" t="s">
        <v>92</v>
      </c>
      <c r="BK568" t="s">
        <v>112</v>
      </c>
      <c r="BL568" t="s">
        <v>92</v>
      </c>
      <c r="BM568" t="s">
        <v>74</v>
      </c>
      <c r="BN568" t="s">
        <v>74</v>
      </c>
      <c r="BO568" t="s">
        <v>74</v>
      </c>
      <c r="BP568" t="s">
        <v>74</v>
      </c>
      <c r="BQ568" t="s">
        <v>74</v>
      </c>
      <c r="BR568" t="s">
        <v>93</v>
      </c>
      <c r="BS568" t="s">
        <v>6778</v>
      </c>
      <c r="BT568" t="str">
        <f>HYPERLINK("https%3A%2F%2Fwww.webofscience.com%2Fwos%2Fwoscc%2Ffull-record%2FWOS:000332024300012","View Full Record in Web of Science")</f>
        <v>View Full Record in Web of Science</v>
      </c>
    </row>
    <row r="569" spans="1:72" x14ac:dyDescent="0.15">
      <c r="A569" t="s">
        <v>72</v>
      </c>
      <c r="B569" t="s">
        <v>6810</v>
      </c>
      <c r="C569" t="s">
        <v>74</v>
      </c>
      <c r="D569" t="s">
        <v>74</v>
      </c>
      <c r="E569" t="s">
        <v>74</v>
      </c>
      <c r="F569" t="s">
        <v>6811</v>
      </c>
      <c r="G569" t="s">
        <v>74</v>
      </c>
      <c r="H569" t="s">
        <v>74</v>
      </c>
      <c r="I569" t="s">
        <v>6812</v>
      </c>
      <c r="J569" t="s">
        <v>6813</v>
      </c>
      <c r="K569" t="s">
        <v>74</v>
      </c>
      <c r="L569" t="s">
        <v>74</v>
      </c>
      <c r="M569" t="s">
        <v>74</v>
      </c>
      <c r="N569" t="s">
        <v>78</v>
      </c>
      <c r="O569" t="s">
        <v>74</v>
      </c>
      <c r="P569" t="s">
        <v>74</v>
      </c>
      <c r="Q569" t="s">
        <v>74</v>
      </c>
      <c r="R569" t="s">
        <v>74</v>
      </c>
      <c r="S569" t="s">
        <v>74</v>
      </c>
      <c r="T569" t="s">
        <v>6814</v>
      </c>
      <c r="U569" t="s">
        <v>6815</v>
      </c>
      <c r="V569" t="s">
        <v>6816</v>
      </c>
      <c r="W569" t="s">
        <v>6817</v>
      </c>
      <c r="X569" t="s">
        <v>6818</v>
      </c>
      <c r="Y569" t="s">
        <v>6819</v>
      </c>
      <c r="Z569" t="s">
        <v>6820</v>
      </c>
      <c r="AA569" t="s">
        <v>74</v>
      </c>
      <c r="AB569" t="s">
        <v>74</v>
      </c>
      <c r="AC569" t="s">
        <v>74</v>
      </c>
      <c r="AD569" t="s">
        <v>74</v>
      </c>
      <c r="AE569" t="s">
        <v>74</v>
      </c>
      <c r="AF569" t="s">
        <v>74</v>
      </c>
      <c r="AG569">
        <v>53</v>
      </c>
      <c r="AH569">
        <v>3</v>
      </c>
      <c r="AI569">
        <v>3</v>
      </c>
      <c r="AJ569">
        <v>0</v>
      </c>
      <c r="AK569">
        <v>11</v>
      </c>
      <c r="AL569" t="s">
        <v>74</v>
      </c>
      <c r="AM569" t="s">
        <v>74</v>
      </c>
      <c r="AN569" t="s">
        <v>74</v>
      </c>
      <c r="AO569" t="s">
        <v>6821</v>
      </c>
      <c r="AP569" t="s">
        <v>6822</v>
      </c>
      <c r="AQ569" t="s">
        <v>74</v>
      </c>
      <c r="AR569" t="s">
        <v>74</v>
      </c>
      <c r="AS569" t="s">
        <v>74</v>
      </c>
      <c r="AT569" t="s">
        <v>171</v>
      </c>
      <c r="AU569">
        <v>2019</v>
      </c>
      <c r="AV569">
        <v>34</v>
      </c>
      <c r="AW569">
        <v>6</v>
      </c>
      <c r="AX569" t="s">
        <v>74</v>
      </c>
      <c r="AY569" t="s">
        <v>74</v>
      </c>
      <c r="AZ569" t="s">
        <v>74</v>
      </c>
      <c r="BA569" t="s">
        <v>74</v>
      </c>
      <c r="BB569">
        <v>712</v>
      </c>
      <c r="BC569">
        <v>721</v>
      </c>
      <c r="BD569" t="s">
        <v>74</v>
      </c>
      <c r="BE569" t="s">
        <v>6823</v>
      </c>
      <c r="BF569" t="str">
        <f>HYPERLINK("http://dx.doi.org/10.1007/s12250-019-00147-8","http://dx.doi.org/10.1007/s12250-019-00147-8")</f>
        <v>http://dx.doi.org/10.1007/s12250-019-00147-8</v>
      </c>
      <c r="BG569" t="s">
        <v>74</v>
      </c>
      <c r="BH569" t="s">
        <v>74</v>
      </c>
      <c r="BI569" t="s">
        <v>74</v>
      </c>
      <c r="BJ569" t="s">
        <v>401</v>
      </c>
      <c r="BK569" t="s">
        <v>112</v>
      </c>
      <c r="BL569" t="s">
        <v>401</v>
      </c>
      <c r="BM569" t="s">
        <v>74</v>
      </c>
      <c r="BN569">
        <v>31292829</v>
      </c>
      <c r="BO569" t="s">
        <v>74</v>
      </c>
      <c r="BP569" t="s">
        <v>74</v>
      </c>
      <c r="BQ569" t="s">
        <v>74</v>
      </c>
      <c r="BR569" t="s">
        <v>93</v>
      </c>
      <c r="BS569" t="s">
        <v>6824</v>
      </c>
      <c r="BT569" t="str">
        <f>HYPERLINK("https%3A%2F%2Fwww.webofscience.com%2Fwos%2Fwoscc%2Ffull-record%2FWOS:000500088400011","View Full Record in Web of Science")</f>
        <v>View Full Record in Web of Science</v>
      </c>
    </row>
    <row r="570" spans="1:72" x14ac:dyDescent="0.15">
      <c r="A570" t="s">
        <v>72</v>
      </c>
      <c r="B570" t="s">
        <v>7454</v>
      </c>
      <c r="C570" t="s">
        <v>74</v>
      </c>
      <c r="D570" t="s">
        <v>74</v>
      </c>
      <c r="E570" t="s">
        <v>74</v>
      </c>
      <c r="F570" t="s">
        <v>7455</v>
      </c>
      <c r="G570" t="s">
        <v>74</v>
      </c>
      <c r="H570" t="s">
        <v>74</v>
      </c>
      <c r="I570" t="s">
        <v>7456</v>
      </c>
      <c r="J570" t="s">
        <v>1828</v>
      </c>
      <c r="K570" t="s">
        <v>74</v>
      </c>
      <c r="L570" t="s">
        <v>74</v>
      </c>
      <c r="M570" t="s">
        <v>74</v>
      </c>
      <c r="N570" t="s">
        <v>78</v>
      </c>
      <c r="O570" t="s">
        <v>74</v>
      </c>
      <c r="P570" t="s">
        <v>74</v>
      </c>
      <c r="Q570" t="s">
        <v>74</v>
      </c>
      <c r="R570" t="s">
        <v>74</v>
      </c>
      <c r="S570" t="s">
        <v>74</v>
      </c>
      <c r="T570" t="s">
        <v>74</v>
      </c>
      <c r="U570" t="s">
        <v>7457</v>
      </c>
      <c r="V570" t="s">
        <v>7458</v>
      </c>
      <c r="W570" t="s">
        <v>7459</v>
      </c>
      <c r="X570" t="s">
        <v>7460</v>
      </c>
      <c r="Y570" t="s">
        <v>7461</v>
      </c>
      <c r="Z570" t="s">
        <v>7462</v>
      </c>
      <c r="AA570" t="s">
        <v>74</v>
      </c>
      <c r="AB570" t="s">
        <v>74</v>
      </c>
      <c r="AC570" t="s">
        <v>74</v>
      </c>
      <c r="AD570" t="s">
        <v>74</v>
      </c>
      <c r="AE570" t="s">
        <v>74</v>
      </c>
      <c r="AF570" t="s">
        <v>74</v>
      </c>
      <c r="AG570">
        <v>51</v>
      </c>
      <c r="AH570">
        <v>3</v>
      </c>
      <c r="AI570">
        <v>3</v>
      </c>
      <c r="AJ570">
        <v>1</v>
      </c>
      <c r="AK570">
        <v>12</v>
      </c>
      <c r="AL570" t="s">
        <v>74</v>
      </c>
      <c r="AM570" t="s">
        <v>74</v>
      </c>
      <c r="AN570" t="s">
        <v>74</v>
      </c>
      <c r="AO570" t="s">
        <v>1837</v>
      </c>
      <c r="AP570" t="s">
        <v>74</v>
      </c>
      <c r="AQ570" t="s">
        <v>74</v>
      </c>
      <c r="AR570" t="s">
        <v>74</v>
      </c>
      <c r="AS570" t="s">
        <v>74</v>
      </c>
      <c r="AT570" t="s">
        <v>7463</v>
      </c>
      <c r="AU570">
        <v>2017</v>
      </c>
      <c r="AV570">
        <v>7</v>
      </c>
      <c r="AW570" t="s">
        <v>74</v>
      </c>
      <c r="AX570" t="s">
        <v>74</v>
      </c>
      <c r="AY570" t="s">
        <v>74</v>
      </c>
      <c r="AZ570" t="s">
        <v>74</v>
      </c>
      <c r="BA570" t="s">
        <v>74</v>
      </c>
      <c r="BB570" t="s">
        <v>74</v>
      </c>
      <c r="BC570" t="s">
        <v>74</v>
      </c>
      <c r="BD570">
        <v>16686</v>
      </c>
      <c r="BE570" t="s">
        <v>7464</v>
      </c>
      <c r="BF570" t="str">
        <f>HYPERLINK("http://dx.doi.org/10.1038/s41598-017-16960-8","http://dx.doi.org/10.1038/s41598-017-16960-8")</f>
        <v>http://dx.doi.org/10.1038/s41598-017-16960-8</v>
      </c>
      <c r="BG570" t="s">
        <v>74</v>
      </c>
      <c r="BH570" t="s">
        <v>74</v>
      </c>
      <c r="BI570" t="s">
        <v>74</v>
      </c>
      <c r="BJ570" t="s">
        <v>545</v>
      </c>
      <c r="BK570" t="s">
        <v>112</v>
      </c>
      <c r="BL570" t="s">
        <v>546</v>
      </c>
      <c r="BM570" t="s">
        <v>74</v>
      </c>
      <c r="BN570">
        <v>29192155</v>
      </c>
      <c r="BO570" t="s">
        <v>74</v>
      </c>
      <c r="BP570" t="s">
        <v>74</v>
      </c>
      <c r="BQ570" t="s">
        <v>74</v>
      </c>
      <c r="BR570" t="s">
        <v>93</v>
      </c>
      <c r="BS570" t="s">
        <v>7465</v>
      </c>
      <c r="BT570" t="str">
        <f>HYPERLINK("https%3A%2F%2Fwww.webofscience.com%2Fwos%2Fwoscc%2Ffull-record%2FWOS:000416891400088","View Full Record in Web of Science")</f>
        <v>View Full Record in Web of Science</v>
      </c>
    </row>
    <row r="571" spans="1:72" x14ac:dyDescent="0.15">
      <c r="A571" t="s">
        <v>72</v>
      </c>
      <c r="B571" t="s">
        <v>8124</v>
      </c>
      <c r="C571" t="s">
        <v>74</v>
      </c>
      <c r="D571" t="s">
        <v>74</v>
      </c>
      <c r="E571" t="s">
        <v>74</v>
      </c>
      <c r="F571" t="s">
        <v>8125</v>
      </c>
      <c r="G571" t="s">
        <v>74</v>
      </c>
      <c r="H571" t="s">
        <v>74</v>
      </c>
      <c r="I571" t="s">
        <v>8126</v>
      </c>
      <c r="J571" t="s">
        <v>8127</v>
      </c>
      <c r="K571" t="s">
        <v>74</v>
      </c>
      <c r="L571" t="s">
        <v>74</v>
      </c>
      <c r="M571" t="s">
        <v>74</v>
      </c>
      <c r="N571" t="s">
        <v>78</v>
      </c>
      <c r="O571" t="s">
        <v>74</v>
      </c>
      <c r="P571" t="s">
        <v>74</v>
      </c>
      <c r="Q571" t="s">
        <v>74</v>
      </c>
      <c r="R571" t="s">
        <v>74</v>
      </c>
      <c r="S571" t="s">
        <v>74</v>
      </c>
      <c r="T571" t="s">
        <v>8128</v>
      </c>
      <c r="U571" t="s">
        <v>8129</v>
      </c>
      <c r="V571" t="s">
        <v>8130</v>
      </c>
      <c r="W571" t="s">
        <v>8131</v>
      </c>
      <c r="X571" t="s">
        <v>8132</v>
      </c>
      <c r="Y571" t="s">
        <v>8133</v>
      </c>
      <c r="Z571" t="s">
        <v>8134</v>
      </c>
      <c r="AA571" t="s">
        <v>8135</v>
      </c>
      <c r="AB571" t="s">
        <v>8136</v>
      </c>
      <c r="AC571" t="s">
        <v>74</v>
      </c>
      <c r="AD571" t="s">
        <v>74</v>
      </c>
      <c r="AE571" t="s">
        <v>74</v>
      </c>
      <c r="AF571" t="s">
        <v>74</v>
      </c>
      <c r="AG571">
        <v>38</v>
      </c>
      <c r="AH571">
        <v>3</v>
      </c>
      <c r="AI571">
        <v>3</v>
      </c>
      <c r="AJ571">
        <v>0</v>
      </c>
      <c r="AK571">
        <v>0</v>
      </c>
      <c r="AL571" t="s">
        <v>74</v>
      </c>
      <c r="AM571" t="s">
        <v>74</v>
      </c>
      <c r="AN571" t="s">
        <v>74</v>
      </c>
      <c r="AO571" t="s">
        <v>8137</v>
      </c>
      <c r="AP571" t="s">
        <v>8138</v>
      </c>
      <c r="AQ571" t="s">
        <v>74</v>
      </c>
      <c r="AR571" t="s">
        <v>74</v>
      </c>
      <c r="AS571" t="s">
        <v>74</v>
      </c>
      <c r="AT571" t="s">
        <v>640</v>
      </c>
      <c r="AU571">
        <v>2017</v>
      </c>
      <c r="AV571">
        <v>23</v>
      </c>
      <c r="AW571">
        <v>2</v>
      </c>
      <c r="AX571" t="s">
        <v>74</v>
      </c>
      <c r="AY571" t="s">
        <v>74</v>
      </c>
      <c r="AZ571" t="s">
        <v>74</v>
      </c>
      <c r="BA571" t="s">
        <v>74</v>
      </c>
      <c r="BB571">
        <v>196</v>
      </c>
      <c r="BC571">
        <v>205</v>
      </c>
      <c r="BD571" t="s">
        <v>74</v>
      </c>
      <c r="BE571" t="s">
        <v>8139</v>
      </c>
      <c r="BF571" t="str">
        <f>HYPERLINK("http://dx.doi.org/10.1177/1753425916684201","http://dx.doi.org/10.1177/1753425916684201")</f>
        <v>http://dx.doi.org/10.1177/1753425916684201</v>
      </c>
      <c r="BG571" t="s">
        <v>74</v>
      </c>
      <c r="BH571" t="s">
        <v>74</v>
      </c>
      <c r="BI571" t="s">
        <v>74</v>
      </c>
      <c r="BJ571" t="s">
        <v>8140</v>
      </c>
      <c r="BK571" t="s">
        <v>112</v>
      </c>
      <c r="BL571" t="s">
        <v>8141</v>
      </c>
      <c r="BM571" t="s">
        <v>74</v>
      </c>
      <c r="BN571">
        <v>28024455</v>
      </c>
      <c r="BO571" t="s">
        <v>74</v>
      </c>
      <c r="BP571" t="s">
        <v>74</v>
      </c>
      <c r="BQ571" t="s">
        <v>74</v>
      </c>
      <c r="BR571" t="s">
        <v>93</v>
      </c>
      <c r="BS571" t="s">
        <v>8142</v>
      </c>
      <c r="BT571" t="str">
        <f>HYPERLINK("https%3A%2F%2Fwww.webofscience.com%2Fwos%2Fwoscc%2Ffull-record%2FWOS:000398223400009","View Full Record in Web of Science")</f>
        <v>View Full Record in Web of Science</v>
      </c>
    </row>
    <row r="572" spans="1:72" x14ac:dyDescent="0.15">
      <c r="A572" t="s">
        <v>72</v>
      </c>
      <c r="B572" t="s">
        <v>8223</v>
      </c>
      <c r="C572" t="s">
        <v>74</v>
      </c>
      <c r="D572" t="s">
        <v>74</v>
      </c>
      <c r="E572" t="s">
        <v>74</v>
      </c>
      <c r="F572" t="s">
        <v>8224</v>
      </c>
      <c r="G572" t="s">
        <v>74</v>
      </c>
      <c r="H572" t="s">
        <v>74</v>
      </c>
      <c r="I572" t="s">
        <v>8225</v>
      </c>
      <c r="J572" t="s">
        <v>8226</v>
      </c>
      <c r="K572" t="s">
        <v>74</v>
      </c>
      <c r="L572" t="s">
        <v>74</v>
      </c>
      <c r="M572" t="s">
        <v>74</v>
      </c>
      <c r="N572" t="s">
        <v>78</v>
      </c>
      <c r="O572" t="s">
        <v>74</v>
      </c>
      <c r="P572" t="s">
        <v>74</v>
      </c>
      <c r="Q572" t="s">
        <v>74</v>
      </c>
      <c r="R572" t="s">
        <v>74</v>
      </c>
      <c r="S572" t="s">
        <v>74</v>
      </c>
      <c r="T572" t="s">
        <v>8227</v>
      </c>
      <c r="U572" t="s">
        <v>8228</v>
      </c>
      <c r="V572" t="s">
        <v>8229</v>
      </c>
      <c r="W572" t="s">
        <v>8230</v>
      </c>
      <c r="X572" t="s">
        <v>8231</v>
      </c>
      <c r="Y572" t="s">
        <v>8232</v>
      </c>
      <c r="Z572" t="s">
        <v>8233</v>
      </c>
      <c r="AA572" t="s">
        <v>8234</v>
      </c>
      <c r="AB572" t="s">
        <v>8235</v>
      </c>
      <c r="AC572" t="s">
        <v>74</v>
      </c>
      <c r="AD572" t="s">
        <v>74</v>
      </c>
      <c r="AE572" t="s">
        <v>74</v>
      </c>
      <c r="AF572" t="s">
        <v>74</v>
      </c>
      <c r="AG572">
        <v>41</v>
      </c>
      <c r="AH572">
        <v>3</v>
      </c>
      <c r="AI572">
        <v>3</v>
      </c>
      <c r="AJ572">
        <v>0</v>
      </c>
      <c r="AK572">
        <v>2</v>
      </c>
      <c r="AL572" t="s">
        <v>74</v>
      </c>
      <c r="AM572" t="s">
        <v>74</v>
      </c>
      <c r="AN572" t="s">
        <v>74</v>
      </c>
      <c r="AO572" t="s">
        <v>8236</v>
      </c>
      <c r="AP572" t="s">
        <v>8237</v>
      </c>
      <c r="AQ572" t="s">
        <v>74</v>
      </c>
      <c r="AR572" t="s">
        <v>74</v>
      </c>
      <c r="AS572" t="s">
        <v>74</v>
      </c>
      <c r="AT572" t="s">
        <v>8238</v>
      </c>
      <c r="AU572">
        <v>2020</v>
      </c>
      <c r="AV572">
        <v>17</v>
      </c>
      <c r="AW572">
        <v>2</v>
      </c>
      <c r="AX572" t="s">
        <v>74</v>
      </c>
      <c r="AY572" t="s">
        <v>74</v>
      </c>
      <c r="AZ572" t="s">
        <v>74</v>
      </c>
      <c r="BA572" t="s">
        <v>74</v>
      </c>
      <c r="BB572">
        <v>117</v>
      </c>
      <c r="BC572">
        <v>130</v>
      </c>
      <c r="BD572" t="s">
        <v>74</v>
      </c>
      <c r="BE572" t="s">
        <v>8239</v>
      </c>
      <c r="BF572" t="str">
        <f>HYPERLINK("http://dx.doi.org/10.21873/cgp.20172","http://dx.doi.org/10.21873/cgp.20172")</f>
        <v>http://dx.doi.org/10.21873/cgp.20172</v>
      </c>
      <c r="BG572" t="s">
        <v>74</v>
      </c>
      <c r="BH572" t="s">
        <v>74</v>
      </c>
      <c r="BI572" t="s">
        <v>74</v>
      </c>
      <c r="BJ572" t="s">
        <v>8240</v>
      </c>
      <c r="BK572" t="s">
        <v>112</v>
      </c>
      <c r="BL572" t="s">
        <v>8240</v>
      </c>
      <c r="BM572" t="s">
        <v>74</v>
      </c>
      <c r="BN572">
        <v>32108034</v>
      </c>
      <c r="BO572" t="s">
        <v>74</v>
      </c>
      <c r="BP572" t="s">
        <v>74</v>
      </c>
      <c r="BQ572" t="s">
        <v>74</v>
      </c>
      <c r="BR572" t="s">
        <v>93</v>
      </c>
      <c r="BS572" t="s">
        <v>8241</v>
      </c>
      <c r="BT572" t="str">
        <f>HYPERLINK("https%3A%2F%2Fwww.webofscience.com%2Fwos%2Fwoscc%2Ffull-record%2FWOS:000517985400002","View Full Record in Web of Science")</f>
        <v>View Full Record in Web of Science</v>
      </c>
    </row>
    <row r="573" spans="1:72" x14ac:dyDescent="0.15">
      <c r="A573" t="s">
        <v>72</v>
      </c>
      <c r="B573" t="s">
        <v>8484</v>
      </c>
      <c r="C573" t="s">
        <v>74</v>
      </c>
      <c r="D573" t="s">
        <v>74</v>
      </c>
      <c r="E573" t="s">
        <v>74</v>
      </c>
      <c r="F573" t="s">
        <v>8485</v>
      </c>
      <c r="G573" t="s">
        <v>74</v>
      </c>
      <c r="H573" t="s">
        <v>74</v>
      </c>
      <c r="I573" t="s">
        <v>8486</v>
      </c>
      <c r="J573" t="s">
        <v>8487</v>
      </c>
      <c r="K573" t="s">
        <v>74</v>
      </c>
      <c r="L573" t="s">
        <v>74</v>
      </c>
      <c r="M573" t="s">
        <v>74</v>
      </c>
      <c r="N573" t="s">
        <v>752</v>
      </c>
      <c r="O573" t="s">
        <v>8488</v>
      </c>
      <c r="P573" t="s">
        <v>8489</v>
      </c>
      <c r="Q573" t="s">
        <v>8490</v>
      </c>
      <c r="R573" t="s">
        <v>74</v>
      </c>
      <c r="S573" t="s">
        <v>8491</v>
      </c>
      <c r="T573" t="s">
        <v>8492</v>
      </c>
      <c r="U573" t="s">
        <v>8493</v>
      </c>
      <c r="V573" t="s">
        <v>8494</v>
      </c>
      <c r="W573" t="s">
        <v>8495</v>
      </c>
      <c r="X573" t="s">
        <v>8496</v>
      </c>
      <c r="Y573" t="s">
        <v>8497</v>
      </c>
      <c r="Z573" t="s">
        <v>8498</v>
      </c>
      <c r="AA573" t="s">
        <v>8499</v>
      </c>
      <c r="AB573" t="s">
        <v>8500</v>
      </c>
      <c r="AC573" t="s">
        <v>74</v>
      </c>
      <c r="AD573" t="s">
        <v>74</v>
      </c>
      <c r="AE573" t="s">
        <v>74</v>
      </c>
      <c r="AF573" t="s">
        <v>74</v>
      </c>
      <c r="AG573">
        <v>29</v>
      </c>
      <c r="AH573">
        <v>3</v>
      </c>
      <c r="AI573">
        <v>4</v>
      </c>
      <c r="AJ573">
        <v>0</v>
      </c>
      <c r="AK573">
        <v>4</v>
      </c>
      <c r="AL573" t="s">
        <v>74</v>
      </c>
      <c r="AM573" t="s">
        <v>74</v>
      </c>
      <c r="AN573" t="s">
        <v>74</v>
      </c>
      <c r="AO573" t="s">
        <v>8501</v>
      </c>
      <c r="AP573" t="s">
        <v>8502</v>
      </c>
      <c r="AQ573" t="s">
        <v>74</v>
      </c>
      <c r="AR573" t="s">
        <v>74</v>
      </c>
      <c r="AS573" t="s">
        <v>74</v>
      </c>
      <c r="AT573" t="s">
        <v>503</v>
      </c>
      <c r="AU573">
        <v>2018</v>
      </c>
      <c r="AV573">
        <v>115</v>
      </c>
      <c r="AW573">
        <v>1</v>
      </c>
      <c r="AX573" t="s">
        <v>74</v>
      </c>
      <c r="AY573" t="s">
        <v>74</v>
      </c>
      <c r="AZ573" t="s">
        <v>74</v>
      </c>
      <c r="BA573" t="s">
        <v>74</v>
      </c>
      <c r="BB573">
        <v>114</v>
      </c>
      <c r="BC573">
        <v>120</v>
      </c>
      <c r="BD573" t="s">
        <v>74</v>
      </c>
      <c r="BE573" t="s">
        <v>8503</v>
      </c>
      <c r="BF573" t="str">
        <f>HYPERLINK("http://dx.doi.org/10.1097/HP.0000000000000867","http://dx.doi.org/10.1097/HP.0000000000000867")</f>
        <v>http://dx.doi.org/10.1097/HP.0000000000000867</v>
      </c>
      <c r="BG573" t="s">
        <v>74</v>
      </c>
      <c r="BH573" t="s">
        <v>74</v>
      </c>
      <c r="BI573" t="s">
        <v>74</v>
      </c>
      <c r="BJ573" t="s">
        <v>8504</v>
      </c>
      <c r="BK573" t="s">
        <v>1408</v>
      </c>
      <c r="BL573" t="s">
        <v>8505</v>
      </c>
      <c r="BM573" t="s">
        <v>74</v>
      </c>
      <c r="BN573">
        <v>29787437</v>
      </c>
      <c r="BO573" t="s">
        <v>74</v>
      </c>
      <c r="BP573" t="s">
        <v>74</v>
      </c>
      <c r="BQ573" t="s">
        <v>74</v>
      </c>
      <c r="BR573" t="s">
        <v>93</v>
      </c>
      <c r="BS573" t="s">
        <v>8506</v>
      </c>
      <c r="BT573" t="str">
        <f>HYPERLINK("https%3A%2F%2Fwww.webofscience.com%2Fwos%2Fwoscc%2Ffull-record%2FWOS:000434256100014","View Full Record in Web of Science")</f>
        <v>View Full Record in Web of Science</v>
      </c>
    </row>
    <row r="574" spans="1:72" x14ac:dyDescent="0.15">
      <c r="A574" t="s">
        <v>72</v>
      </c>
      <c r="B574" t="s">
        <v>8681</v>
      </c>
      <c r="C574" t="s">
        <v>74</v>
      </c>
      <c r="D574" t="s">
        <v>74</v>
      </c>
      <c r="E574" t="s">
        <v>74</v>
      </c>
      <c r="F574" t="s">
        <v>8682</v>
      </c>
      <c r="G574" t="s">
        <v>74</v>
      </c>
      <c r="H574" t="s">
        <v>74</v>
      </c>
      <c r="I574" t="s">
        <v>8683</v>
      </c>
      <c r="J574" t="s">
        <v>8684</v>
      </c>
      <c r="K574" t="s">
        <v>74</v>
      </c>
      <c r="L574" t="s">
        <v>74</v>
      </c>
      <c r="M574" t="s">
        <v>74</v>
      </c>
      <c r="N574" t="s">
        <v>78</v>
      </c>
      <c r="O574" t="s">
        <v>74</v>
      </c>
      <c r="P574" t="s">
        <v>74</v>
      </c>
      <c r="Q574" t="s">
        <v>74</v>
      </c>
      <c r="R574" t="s">
        <v>74</v>
      </c>
      <c r="S574" t="s">
        <v>74</v>
      </c>
      <c r="T574" t="s">
        <v>8685</v>
      </c>
      <c r="U574" t="s">
        <v>8686</v>
      </c>
      <c r="V574" t="s">
        <v>8687</v>
      </c>
      <c r="W574" t="s">
        <v>8688</v>
      </c>
      <c r="X574" t="s">
        <v>8689</v>
      </c>
      <c r="Y574" t="s">
        <v>8690</v>
      </c>
      <c r="Z574" t="s">
        <v>8691</v>
      </c>
      <c r="AA574" t="s">
        <v>8692</v>
      </c>
      <c r="AB574" t="s">
        <v>8693</v>
      </c>
      <c r="AC574" t="s">
        <v>74</v>
      </c>
      <c r="AD574" t="s">
        <v>74</v>
      </c>
      <c r="AE574" t="s">
        <v>74</v>
      </c>
      <c r="AF574" t="s">
        <v>74</v>
      </c>
      <c r="AG574">
        <v>38</v>
      </c>
      <c r="AH574">
        <v>3</v>
      </c>
      <c r="AI574">
        <v>3</v>
      </c>
      <c r="AJ574">
        <v>0</v>
      </c>
      <c r="AK574">
        <v>4</v>
      </c>
      <c r="AL574" t="s">
        <v>74</v>
      </c>
      <c r="AM574" t="s">
        <v>74</v>
      </c>
      <c r="AN574" t="s">
        <v>74</v>
      </c>
      <c r="AO574" t="s">
        <v>8694</v>
      </c>
      <c r="AP574" t="s">
        <v>74</v>
      </c>
      <c r="AQ574" t="s">
        <v>74</v>
      </c>
      <c r="AR574" t="s">
        <v>74</v>
      </c>
      <c r="AS574" t="s">
        <v>74</v>
      </c>
      <c r="AT574" t="s">
        <v>108</v>
      </c>
      <c r="AU574">
        <v>2012</v>
      </c>
      <c r="AV574">
        <v>40</v>
      </c>
      <c r="AW574">
        <v>1</v>
      </c>
      <c r="AX574" t="s">
        <v>74</v>
      </c>
      <c r="AY574" t="s">
        <v>74</v>
      </c>
      <c r="AZ574" t="s">
        <v>74</v>
      </c>
      <c r="BA574" t="s">
        <v>74</v>
      </c>
      <c r="BB574">
        <v>15</v>
      </c>
      <c r="BC574">
        <v>20</v>
      </c>
      <c r="BD574" t="s">
        <v>74</v>
      </c>
      <c r="BE574" t="s">
        <v>8695</v>
      </c>
      <c r="BF574" t="str">
        <f>HYPERLINK("http://dx.doi.org/10.1016/j.biologicals.2011.11.005","http://dx.doi.org/10.1016/j.biologicals.2011.11.005")</f>
        <v>http://dx.doi.org/10.1016/j.biologicals.2011.11.005</v>
      </c>
      <c r="BG574" t="s">
        <v>74</v>
      </c>
      <c r="BH574" t="s">
        <v>74</v>
      </c>
      <c r="BI574" t="s">
        <v>74</v>
      </c>
      <c r="BJ574" t="s">
        <v>8696</v>
      </c>
      <c r="BK574" t="s">
        <v>112</v>
      </c>
      <c r="BL574" t="s">
        <v>8697</v>
      </c>
      <c r="BM574" t="s">
        <v>74</v>
      </c>
      <c r="BN574">
        <v>22192456</v>
      </c>
      <c r="BO574" t="s">
        <v>74</v>
      </c>
      <c r="BP574" t="s">
        <v>74</v>
      </c>
      <c r="BQ574" t="s">
        <v>74</v>
      </c>
      <c r="BR574" t="s">
        <v>93</v>
      </c>
      <c r="BS574" t="s">
        <v>8698</v>
      </c>
      <c r="BT574" t="str">
        <f>HYPERLINK("https%3A%2F%2Fwww.webofscience.com%2Fwos%2Fwoscc%2Ffull-record%2FWOS:000300806700003","View Full Record in Web of Science")</f>
        <v>View Full Record in Web of Science</v>
      </c>
    </row>
    <row r="575" spans="1:72" x14ac:dyDescent="0.15">
      <c r="A575" t="s">
        <v>72</v>
      </c>
      <c r="B575" t="s">
        <v>8699</v>
      </c>
      <c r="C575" t="s">
        <v>74</v>
      </c>
      <c r="D575" t="s">
        <v>74</v>
      </c>
      <c r="E575" t="s">
        <v>74</v>
      </c>
      <c r="F575" t="s">
        <v>8700</v>
      </c>
      <c r="G575" t="s">
        <v>74</v>
      </c>
      <c r="H575" t="s">
        <v>74</v>
      </c>
      <c r="I575" t="s">
        <v>8701</v>
      </c>
      <c r="J575" t="s">
        <v>151</v>
      </c>
      <c r="K575" t="s">
        <v>74</v>
      </c>
      <c r="L575" t="s">
        <v>74</v>
      </c>
      <c r="M575" t="s">
        <v>74</v>
      </c>
      <c r="N575" t="s">
        <v>78</v>
      </c>
      <c r="O575" t="s">
        <v>74</v>
      </c>
      <c r="P575" t="s">
        <v>74</v>
      </c>
      <c r="Q575" t="s">
        <v>74</v>
      </c>
      <c r="R575" t="s">
        <v>74</v>
      </c>
      <c r="S575" t="s">
        <v>74</v>
      </c>
      <c r="T575" t="s">
        <v>8702</v>
      </c>
      <c r="U575" t="s">
        <v>74</v>
      </c>
      <c r="V575" t="s">
        <v>8703</v>
      </c>
      <c r="W575" t="s">
        <v>8704</v>
      </c>
      <c r="X575" t="s">
        <v>8705</v>
      </c>
      <c r="Y575" t="s">
        <v>8706</v>
      </c>
      <c r="Z575" t="s">
        <v>8707</v>
      </c>
      <c r="AA575" t="s">
        <v>74</v>
      </c>
      <c r="AB575" t="s">
        <v>8708</v>
      </c>
      <c r="AC575" t="s">
        <v>74</v>
      </c>
      <c r="AD575" t="s">
        <v>74</v>
      </c>
      <c r="AE575" t="s">
        <v>74</v>
      </c>
      <c r="AF575" t="s">
        <v>74</v>
      </c>
      <c r="AG575">
        <v>51</v>
      </c>
      <c r="AH575">
        <v>3</v>
      </c>
      <c r="AI575">
        <v>3</v>
      </c>
      <c r="AJ575">
        <v>0</v>
      </c>
      <c r="AK575">
        <v>2</v>
      </c>
      <c r="AL575" t="s">
        <v>74</v>
      </c>
      <c r="AM575" t="s">
        <v>74</v>
      </c>
      <c r="AN575" t="s">
        <v>74</v>
      </c>
      <c r="AO575" t="s">
        <v>74</v>
      </c>
      <c r="AP575" t="s">
        <v>160</v>
      </c>
      <c r="AQ575" t="s">
        <v>74</v>
      </c>
      <c r="AR575" t="s">
        <v>74</v>
      </c>
      <c r="AS575" t="s">
        <v>74</v>
      </c>
      <c r="AT575" t="s">
        <v>743</v>
      </c>
      <c r="AU575">
        <v>2021</v>
      </c>
      <c r="AV575">
        <v>13</v>
      </c>
      <c r="AW575">
        <v>6</v>
      </c>
      <c r="AX575" t="s">
        <v>74</v>
      </c>
      <c r="AY575" t="s">
        <v>74</v>
      </c>
      <c r="AZ575" t="s">
        <v>74</v>
      </c>
      <c r="BA575" t="s">
        <v>74</v>
      </c>
      <c r="BB575" t="s">
        <v>74</v>
      </c>
      <c r="BC575" t="s">
        <v>74</v>
      </c>
      <c r="BD575">
        <v>1227</v>
      </c>
      <c r="BE575" t="s">
        <v>8709</v>
      </c>
      <c r="BF575" t="str">
        <f>HYPERLINK("http://dx.doi.org/10.3390/cancers13061227","http://dx.doi.org/10.3390/cancers13061227")</f>
        <v>http://dx.doi.org/10.3390/cancers13061227</v>
      </c>
      <c r="BG575" t="s">
        <v>74</v>
      </c>
      <c r="BH575" t="s">
        <v>74</v>
      </c>
      <c r="BI575" t="s">
        <v>74</v>
      </c>
      <c r="BJ575" t="s">
        <v>146</v>
      </c>
      <c r="BK575" t="s">
        <v>112</v>
      </c>
      <c r="BL575" t="s">
        <v>146</v>
      </c>
      <c r="BM575" t="s">
        <v>74</v>
      </c>
      <c r="BN575">
        <v>33799709</v>
      </c>
      <c r="BO575" t="s">
        <v>74</v>
      </c>
      <c r="BP575" t="s">
        <v>74</v>
      </c>
      <c r="BQ575" t="s">
        <v>74</v>
      </c>
      <c r="BR575" t="s">
        <v>93</v>
      </c>
      <c r="BS575" t="s">
        <v>8710</v>
      </c>
      <c r="BT575" t="str">
        <f>HYPERLINK("https%3A%2F%2Fwww.webofscience.com%2Fwos%2Fwoscc%2Ffull-record%2FWOS:000634356500001","View Full Record in Web of Science")</f>
        <v>View Full Record in Web of Science</v>
      </c>
    </row>
    <row r="576" spans="1:72" x14ac:dyDescent="0.15">
      <c r="A576" t="s">
        <v>72</v>
      </c>
      <c r="B576" t="s">
        <v>9426</v>
      </c>
      <c r="C576" t="s">
        <v>74</v>
      </c>
      <c r="D576" t="s">
        <v>74</v>
      </c>
      <c r="E576" t="s">
        <v>74</v>
      </c>
      <c r="F576" t="s">
        <v>9427</v>
      </c>
      <c r="G576" t="s">
        <v>74</v>
      </c>
      <c r="H576" t="s">
        <v>74</v>
      </c>
      <c r="I576" t="s">
        <v>9428</v>
      </c>
      <c r="J576" t="s">
        <v>9429</v>
      </c>
      <c r="K576" t="s">
        <v>74</v>
      </c>
      <c r="L576" t="s">
        <v>74</v>
      </c>
      <c r="M576" t="s">
        <v>74</v>
      </c>
      <c r="N576" t="s">
        <v>78</v>
      </c>
      <c r="O576" t="s">
        <v>74</v>
      </c>
      <c r="P576" t="s">
        <v>74</v>
      </c>
      <c r="Q576" t="s">
        <v>74</v>
      </c>
      <c r="R576" t="s">
        <v>74</v>
      </c>
      <c r="S576" t="s">
        <v>74</v>
      </c>
      <c r="T576" t="s">
        <v>9430</v>
      </c>
      <c r="U576" t="s">
        <v>9431</v>
      </c>
      <c r="V576" t="s">
        <v>9432</v>
      </c>
      <c r="W576" t="s">
        <v>9433</v>
      </c>
      <c r="X576" t="s">
        <v>9434</v>
      </c>
      <c r="Y576" t="s">
        <v>9435</v>
      </c>
      <c r="Z576" t="s">
        <v>9436</v>
      </c>
      <c r="AA576" t="s">
        <v>74</v>
      </c>
      <c r="AB576" t="s">
        <v>9437</v>
      </c>
      <c r="AC576" t="s">
        <v>74</v>
      </c>
      <c r="AD576" t="s">
        <v>74</v>
      </c>
      <c r="AE576" t="s">
        <v>74</v>
      </c>
      <c r="AF576" t="s">
        <v>74</v>
      </c>
      <c r="AG576">
        <v>97</v>
      </c>
      <c r="AH576">
        <v>3</v>
      </c>
      <c r="AI576">
        <v>3</v>
      </c>
      <c r="AJ576">
        <v>6</v>
      </c>
      <c r="AK576">
        <v>12</v>
      </c>
      <c r="AL576" t="s">
        <v>74</v>
      </c>
      <c r="AM576" t="s">
        <v>74</v>
      </c>
      <c r="AN576" t="s">
        <v>74</v>
      </c>
      <c r="AO576" t="s">
        <v>9438</v>
      </c>
      <c r="AP576" t="s">
        <v>9439</v>
      </c>
      <c r="AQ576" t="s">
        <v>74</v>
      </c>
      <c r="AR576" t="s">
        <v>74</v>
      </c>
      <c r="AS576" t="s">
        <v>74</v>
      </c>
      <c r="AT576" t="s">
        <v>8238</v>
      </c>
      <c r="AU576">
        <v>2021</v>
      </c>
      <c r="AV576" t="s">
        <v>9440</v>
      </c>
      <c r="AW576" t="s">
        <v>74</v>
      </c>
      <c r="AX576" t="s">
        <v>74</v>
      </c>
      <c r="AY576" t="s">
        <v>74</v>
      </c>
      <c r="AZ576" t="s">
        <v>1075</v>
      </c>
      <c r="BA576" t="s">
        <v>74</v>
      </c>
      <c r="BB576" t="s">
        <v>74</v>
      </c>
      <c r="BC576" t="s">
        <v>74</v>
      </c>
      <c r="BD576">
        <v>101731</v>
      </c>
      <c r="BE576" t="s">
        <v>9441</v>
      </c>
      <c r="BF576" t="str">
        <f>HYPERLINK("http://dx.doi.org/10.1016/j.bpg.2021.101731","http://dx.doi.org/10.1016/j.bpg.2021.101731")</f>
        <v>http://dx.doi.org/10.1016/j.bpg.2021.101731</v>
      </c>
      <c r="BG576" t="s">
        <v>74</v>
      </c>
      <c r="BH576" t="s">
        <v>1055</v>
      </c>
      <c r="BI576" t="s">
        <v>74</v>
      </c>
      <c r="BJ576" t="s">
        <v>5475</v>
      </c>
      <c r="BK576" t="s">
        <v>112</v>
      </c>
      <c r="BL576" t="s">
        <v>5475</v>
      </c>
      <c r="BM576" t="s">
        <v>74</v>
      </c>
      <c r="BN576">
        <v>33975677</v>
      </c>
      <c r="BO576" t="s">
        <v>74</v>
      </c>
      <c r="BP576" t="s">
        <v>74</v>
      </c>
      <c r="BQ576" t="s">
        <v>74</v>
      </c>
      <c r="BR576" t="s">
        <v>93</v>
      </c>
      <c r="BS576" t="s">
        <v>9442</v>
      </c>
      <c r="BT576" t="str">
        <f>HYPERLINK("https%3A%2F%2Fwww.webofscience.com%2Fwos%2Fwoscc%2Ffull-record%2FWOS:000648871800004","View Full Record in Web of Science")</f>
        <v>View Full Record in Web of Science</v>
      </c>
    </row>
    <row r="577" spans="1:72" x14ac:dyDescent="0.15">
      <c r="A577" t="s">
        <v>72</v>
      </c>
      <c r="B577" t="s">
        <v>9493</v>
      </c>
      <c r="C577" t="s">
        <v>74</v>
      </c>
      <c r="D577" t="s">
        <v>74</v>
      </c>
      <c r="E577" t="s">
        <v>74</v>
      </c>
      <c r="F577" t="s">
        <v>9494</v>
      </c>
      <c r="G577" t="s">
        <v>74</v>
      </c>
      <c r="H577" t="s">
        <v>74</v>
      </c>
      <c r="I577" t="s">
        <v>9495</v>
      </c>
      <c r="J577" t="s">
        <v>5108</v>
      </c>
      <c r="K577" t="s">
        <v>74</v>
      </c>
      <c r="L577" t="s">
        <v>74</v>
      </c>
      <c r="M577" t="s">
        <v>74</v>
      </c>
      <c r="N577" t="s">
        <v>78</v>
      </c>
      <c r="O577" t="s">
        <v>74</v>
      </c>
      <c r="P577" t="s">
        <v>74</v>
      </c>
      <c r="Q577" t="s">
        <v>74</v>
      </c>
      <c r="R577" t="s">
        <v>74</v>
      </c>
      <c r="S577" t="s">
        <v>74</v>
      </c>
      <c r="T577" t="s">
        <v>9496</v>
      </c>
      <c r="U577" t="s">
        <v>9497</v>
      </c>
      <c r="V577" t="s">
        <v>9498</v>
      </c>
      <c r="W577" t="s">
        <v>9499</v>
      </c>
      <c r="X577" t="s">
        <v>6756</v>
      </c>
      <c r="Y577" t="s">
        <v>9500</v>
      </c>
      <c r="Z577" t="s">
        <v>9501</v>
      </c>
      <c r="AA577" t="s">
        <v>9502</v>
      </c>
      <c r="AB577" t="s">
        <v>9503</v>
      </c>
      <c r="AC577" t="s">
        <v>74</v>
      </c>
      <c r="AD577" t="s">
        <v>74</v>
      </c>
      <c r="AE577" t="s">
        <v>74</v>
      </c>
      <c r="AF577" t="s">
        <v>74</v>
      </c>
      <c r="AG577">
        <v>167</v>
      </c>
      <c r="AH577">
        <v>3</v>
      </c>
      <c r="AI577">
        <v>3</v>
      </c>
      <c r="AJ577">
        <v>6</v>
      </c>
      <c r="AK577">
        <v>12</v>
      </c>
      <c r="AL577" t="s">
        <v>74</v>
      </c>
      <c r="AM577" t="s">
        <v>74</v>
      </c>
      <c r="AN577" t="s">
        <v>74</v>
      </c>
      <c r="AO577" t="s">
        <v>5118</v>
      </c>
      <c r="AP577" t="s">
        <v>5119</v>
      </c>
      <c r="AQ577" t="s">
        <v>74</v>
      </c>
      <c r="AR577" t="s">
        <v>74</v>
      </c>
      <c r="AS577" t="s">
        <v>74</v>
      </c>
      <c r="AT577" t="s">
        <v>728</v>
      </c>
      <c r="AU577">
        <v>2022</v>
      </c>
      <c r="AV577">
        <v>524</v>
      </c>
      <c r="AW577" t="s">
        <v>74</v>
      </c>
      <c r="AX577" t="s">
        <v>74</v>
      </c>
      <c r="AY577" t="s">
        <v>74</v>
      </c>
      <c r="AZ577" t="s">
        <v>74</v>
      </c>
      <c r="BA577" t="s">
        <v>74</v>
      </c>
      <c r="BB577">
        <v>57</v>
      </c>
      <c r="BC577">
        <v>69</v>
      </c>
      <c r="BD577" t="s">
        <v>74</v>
      </c>
      <c r="BE577" t="s">
        <v>9504</v>
      </c>
      <c r="BF577" t="str">
        <f>HYPERLINK("http://dx.doi.org/10.1016/j.canlet.2021.10.011","http://dx.doi.org/10.1016/j.canlet.2021.10.011")</f>
        <v>http://dx.doi.org/10.1016/j.canlet.2021.10.011</v>
      </c>
      <c r="BG577" t="s">
        <v>74</v>
      </c>
      <c r="BH577" t="s">
        <v>5543</v>
      </c>
      <c r="BI577" t="s">
        <v>74</v>
      </c>
      <c r="BJ577" t="s">
        <v>146</v>
      </c>
      <c r="BK577" t="s">
        <v>112</v>
      </c>
      <c r="BL577" t="s">
        <v>146</v>
      </c>
      <c r="BM577" t="s">
        <v>74</v>
      </c>
      <c r="BN577">
        <v>34656688</v>
      </c>
      <c r="BO577" t="s">
        <v>74</v>
      </c>
      <c r="BP577" t="s">
        <v>74</v>
      </c>
      <c r="BQ577" t="s">
        <v>74</v>
      </c>
      <c r="BR577" t="s">
        <v>93</v>
      </c>
      <c r="BS577" t="s">
        <v>9505</v>
      </c>
      <c r="BT577" t="str">
        <f>HYPERLINK("https%3A%2F%2Fwww.webofscience.com%2Fwos%2Fwoscc%2Ffull-record%2FWOS:000708796000002","View Full Record in Web of Science")</f>
        <v>View Full Record in Web of Science</v>
      </c>
    </row>
    <row r="578" spans="1:72" x14ac:dyDescent="0.15">
      <c r="A578" t="s">
        <v>72</v>
      </c>
      <c r="B578" t="s">
        <v>10793</v>
      </c>
      <c r="C578" t="s">
        <v>74</v>
      </c>
      <c r="D578" t="s">
        <v>74</v>
      </c>
      <c r="E578" t="s">
        <v>74</v>
      </c>
      <c r="F578" t="s">
        <v>10794</v>
      </c>
      <c r="G578" t="s">
        <v>74</v>
      </c>
      <c r="H578" t="s">
        <v>74</v>
      </c>
      <c r="I578" t="s">
        <v>10795</v>
      </c>
      <c r="J578" t="s">
        <v>2358</v>
      </c>
      <c r="K578" t="s">
        <v>74</v>
      </c>
      <c r="L578" t="s">
        <v>74</v>
      </c>
      <c r="M578" t="s">
        <v>74</v>
      </c>
      <c r="N578" t="s">
        <v>78</v>
      </c>
      <c r="O578" t="s">
        <v>74</v>
      </c>
      <c r="P578" t="s">
        <v>74</v>
      </c>
      <c r="Q578" t="s">
        <v>74</v>
      </c>
      <c r="R578" t="s">
        <v>74</v>
      </c>
      <c r="S578" t="s">
        <v>74</v>
      </c>
      <c r="T578" t="s">
        <v>74</v>
      </c>
      <c r="U578" t="s">
        <v>10796</v>
      </c>
      <c r="V578" t="s">
        <v>10797</v>
      </c>
      <c r="W578" t="s">
        <v>10798</v>
      </c>
      <c r="X578" t="s">
        <v>10799</v>
      </c>
      <c r="Y578" t="s">
        <v>10800</v>
      </c>
      <c r="Z578" t="s">
        <v>10801</v>
      </c>
      <c r="AA578" t="s">
        <v>10802</v>
      </c>
      <c r="AB578" t="s">
        <v>10803</v>
      </c>
      <c r="AC578" t="s">
        <v>74</v>
      </c>
      <c r="AD578" t="s">
        <v>74</v>
      </c>
      <c r="AE578" t="s">
        <v>74</v>
      </c>
      <c r="AF578" t="s">
        <v>74</v>
      </c>
      <c r="AG578">
        <v>38</v>
      </c>
      <c r="AH578">
        <v>3</v>
      </c>
      <c r="AI578">
        <v>3</v>
      </c>
      <c r="AJ578">
        <v>2</v>
      </c>
      <c r="AK578">
        <v>5</v>
      </c>
      <c r="AL578" t="s">
        <v>74</v>
      </c>
      <c r="AM578" t="s">
        <v>74</v>
      </c>
      <c r="AN578" t="s">
        <v>74</v>
      </c>
      <c r="AO578" t="s">
        <v>2367</v>
      </c>
      <c r="AP578" t="s">
        <v>2368</v>
      </c>
      <c r="AQ578" t="s">
        <v>74</v>
      </c>
      <c r="AR578" t="s">
        <v>74</v>
      </c>
      <c r="AS578" t="s">
        <v>74</v>
      </c>
      <c r="AT578" t="s">
        <v>8928</v>
      </c>
      <c r="AU578">
        <v>2020</v>
      </c>
      <c r="AV578">
        <v>12</v>
      </c>
      <c r="AW578">
        <v>35</v>
      </c>
      <c r="AX578" t="s">
        <v>74</v>
      </c>
      <c r="AY578" t="s">
        <v>74</v>
      </c>
      <c r="AZ578" t="s">
        <v>74</v>
      </c>
      <c r="BA578" t="s">
        <v>74</v>
      </c>
      <c r="BB578">
        <v>18022</v>
      </c>
      <c r="BC578">
        <v>18030</v>
      </c>
      <c r="BD578" t="s">
        <v>74</v>
      </c>
      <c r="BE578" t="s">
        <v>10804</v>
      </c>
      <c r="BF578" t="str">
        <f>HYPERLINK("http://dx.doi.org/10.1039/d0nr03784b","http://dx.doi.org/10.1039/d0nr03784b")</f>
        <v>http://dx.doi.org/10.1039/d0nr03784b</v>
      </c>
      <c r="BG578" t="s">
        <v>74</v>
      </c>
      <c r="BH578" t="s">
        <v>74</v>
      </c>
      <c r="BI578" t="s">
        <v>74</v>
      </c>
      <c r="BJ578" t="s">
        <v>2371</v>
      </c>
      <c r="BK578" t="s">
        <v>112</v>
      </c>
      <c r="BL578" t="s">
        <v>2124</v>
      </c>
      <c r="BM578" t="s">
        <v>74</v>
      </c>
      <c r="BN578">
        <v>32857097</v>
      </c>
      <c r="BO578" t="s">
        <v>74</v>
      </c>
      <c r="BP578" t="s">
        <v>74</v>
      </c>
      <c r="BQ578" t="s">
        <v>74</v>
      </c>
      <c r="BR578" t="s">
        <v>93</v>
      </c>
      <c r="BS578" t="s">
        <v>10805</v>
      </c>
      <c r="BT578" t="str">
        <f>HYPERLINK("https%3A%2F%2Fwww.webofscience.com%2Fwos%2Fwoscc%2Ffull-record%2FWOS:000571342700005","View Full Record in Web of Science")</f>
        <v>View Full Record in Web of Science</v>
      </c>
    </row>
    <row r="579" spans="1:72" x14ac:dyDescent="0.15">
      <c r="A579" t="s">
        <v>8802</v>
      </c>
      <c r="B579" t="s">
        <v>11091</v>
      </c>
      <c r="C579" t="s">
        <v>74</v>
      </c>
      <c r="D579" t="s">
        <v>11092</v>
      </c>
      <c r="E579" t="s">
        <v>74</v>
      </c>
      <c r="F579" t="s">
        <v>11093</v>
      </c>
      <c r="G579" t="s">
        <v>74</v>
      </c>
      <c r="H579" t="s">
        <v>74</v>
      </c>
      <c r="I579" t="s">
        <v>11094</v>
      </c>
      <c r="J579" t="s">
        <v>11095</v>
      </c>
      <c r="K579" t="s">
        <v>74</v>
      </c>
      <c r="L579" t="s">
        <v>74</v>
      </c>
      <c r="M579" t="s">
        <v>74</v>
      </c>
      <c r="N579" t="s">
        <v>319</v>
      </c>
      <c r="O579" t="s">
        <v>74</v>
      </c>
      <c r="P579" t="s">
        <v>74</v>
      </c>
      <c r="Q579" t="s">
        <v>74</v>
      </c>
      <c r="R579" t="s">
        <v>74</v>
      </c>
      <c r="S579" t="s">
        <v>74</v>
      </c>
      <c r="T579" t="s">
        <v>74</v>
      </c>
      <c r="U579" t="s">
        <v>11096</v>
      </c>
      <c r="V579" t="s">
        <v>74</v>
      </c>
      <c r="W579" t="s">
        <v>11097</v>
      </c>
      <c r="X579" t="s">
        <v>11098</v>
      </c>
      <c r="Y579" t="s">
        <v>11099</v>
      </c>
      <c r="Z579" t="s">
        <v>11100</v>
      </c>
      <c r="AA579" t="s">
        <v>74</v>
      </c>
      <c r="AB579" t="s">
        <v>11101</v>
      </c>
      <c r="AC579" t="s">
        <v>74</v>
      </c>
      <c r="AD579" t="s">
        <v>74</v>
      </c>
      <c r="AE579" t="s">
        <v>74</v>
      </c>
      <c r="AF579" t="s">
        <v>74</v>
      </c>
      <c r="AG579">
        <v>43</v>
      </c>
      <c r="AH579">
        <v>3</v>
      </c>
      <c r="AI579">
        <v>3</v>
      </c>
      <c r="AJ579">
        <v>0</v>
      </c>
      <c r="AK579">
        <v>6</v>
      </c>
      <c r="AL579" t="s">
        <v>74</v>
      </c>
      <c r="AM579" t="s">
        <v>74</v>
      </c>
      <c r="AN579" t="s">
        <v>74</v>
      </c>
      <c r="AO579" t="s">
        <v>74</v>
      </c>
      <c r="AP579" t="s">
        <v>74</v>
      </c>
      <c r="AQ579" t="s">
        <v>11102</v>
      </c>
      <c r="AR579" t="s">
        <v>74</v>
      </c>
      <c r="AS579" t="s">
        <v>74</v>
      </c>
      <c r="AT579" t="s">
        <v>74</v>
      </c>
      <c r="AU579">
        <v>2011</v>
      </c>
      <c r="AV579" t="s">
        <v>74</v>
      </c>
      <c r="AW579" t="s">
        <v>74</v>
      </c>
      <c r="AX579" t="s">
        <v>74</v>
      </c>
      <c r="AY579" t="s">
        <v>74</v>
      </c>
      <c r="AZ579" t="s">
        <v>74</v>
      </c>
      <c r="BA579" t="s">
        <v>74</v>
      </c>
      <c r="BB579">
        <v>421</v>
      </c>
      <c r="BC579">
        <v>436</v>
      </c>
      <c r="BD579" t="s">
        <v>74</v>
      </c>
      <c r="BE579" t="s">
        <v>74</v>
      </c>
      <c r="BF579" t="s">
        <v>74</v>
      </c>
      <c r="BG579" t="s">
        <v>11103</v>
      </c>
      <c r="BH579" t="s">
        <v>74</v>
      </c>
      <c r="BI579" t="s">
        <v>74</v>
      </c>
      <c r="BJ579" t="s">
        <v>11104</v>
      </c>
      <c r="BK579" t="s">
        <v>334</v>
      </c>
      <c r="BL579" t="s">
        <v>11104</v>
      </c>
      <c r="BM579" t="s">
        <v>74</v>
      </c>
      <c r="BN579" t="s">
        <v>74</v>
      </c>
      <c r="BO579" t="s">
        <v>74</v>
      </c>
      <c r="BP579" t="s">
        <v>74</v>
      </c>
      <c r="BQ579" t="s">
        <v>74</v>
      </c>
      <c r="BR579" t="s">
        <v>93</v>
      </c>
      <c r="BS579" t="s">
        <v>11105</v>
      </c>
      <c r="BT579" t="str">
        <f>HYPERLINK("https%3A%2F%2Fwww.webofscience.com%2Fwos%2Fwoscc%2Ffull-record%2FWOS:000297211500021","View Full Record in Web of Science")</f>
        <v>View Full Record in Web of Science</v>
      </c>
    </row>
    <row r="580" spans="1:72" x14ac:dyDescent="0.15">
      <c r="A580" t="s">
        <v>72</v>
      </c>
      <c r="B580" t="s">
        <v>509</v>
      </c>
      <c r="C580" t="s">
        <v>74</v>
      </c>
      <c r="D580" t="s">
        <v>74</v>
      </c>
      <c r="E580" t="s">
        <v>74</v>
      </c>
      <c r="F580" t="s">
        <v>510</v>
      </c>
      <c r="G580" t="s">
        <v>74</v>
      </c>
      <c r="H580" t="s">
        <v>74</v>
      </c>
      <c r="I580" t="s">
        <v>511</v>
      </c>
      <c r="J580" t="s">
        <v>512</v>
      </c>
      <c r="K580" t="s">
        <v>74</v>
      </c>
      <c r="L580" t="s">
        <v>74</v>
      </c>
      <c r="M580" t="s">
        <v>74</v>
      </c>
      <c r="N580" t="s">
        <v>78</v>
      </c>
      <c r="O580" t="s">
        <v>74</v>
      </c>
      <c r="P580" t="s">
        <v>74</v>
      </c>
      <c r="Q580" t="s">
        <v>74</v>
      </c>
      <c r="R580" t="s">
        <v>74</v>
      </c>
      <c r="S580" t="s">
        <v>74</v>
      </c>
      <c r="T580" t="s">
        <v>513</v>
      </c>
      <c r="U580" t="s">
        <v>514</v>
      </c>
      <c r="V580" t="s">
        <v>515</v>
      </c>
      <c r="W580" t="s">
        <v>516</v>
      </c>
      <c r="X580" t="s">
        <v>517</v>
      </c>
      <c r="Y580" t="s">
        <v>518</v>
      </c>
      <c r="Z580" t="s">
        <v>519</v>
      </c>
      <c r="AA580" t="s">
        <v>520</v>
      </c>
      <c r="AB580" t="s">
        <v>521</v>
      </c>
      <c r="AC580" t="s">
        <v>74</v>
      </c>
      <c r="AD580" t="s">
        <v>74</v>
      </c>
      <c r="AE580" t="s">
        <v>74</v>
      </c>
      <c r="AF580" t="s">
        <v>74</v>
      </c>
      <c r="AG580">
        <v>51</v>
      </c>
      <c r="AH580">
        <v>2</v>
      </c>
      <c r="AI580">
        <v>2</v>
      </c>
      <c r="AJ580">
        <v>1</v>
      </c>
      <c r="AK580">
        <v>11</v>
      </c>
      <c r="AL580" t="s">
        <v>74</v>
      </c>
      <c r="AM580" t="s">
        <v>74</v>
      </c>
      <c r="AN580" t="s">
        <v>74</v>
      </c>
      <c r="AO580" t="s">
        <v>522</v>
      </c>
      <c r="AP580" t="s">
        <v>523</v>
      </c>
      <c r="AQ580" t="s">
        <v>74</v>
      </c>
      <c r="AR580" t="s">
        <v>74</v>
      </c>
      <c r="AS580" t="s">
        <v>74</v>
      </c>
      <c r="AT580" t="s">
        <v>503</v>
      </c>
      <c r="AU580">
        <v>2020</v>
      </c>
      <c r="AV580">
        <v>34</v>
      </c>
      <c r="AW580">
        <v>7</v>
      </c>
      <c r="AX580" t="s">
        <v>74</v>
      </c>
      <c r="AY580" t="s">
        <v>74</v>
      </c>
      <c r="AZ580" t="s">
        <v>74</v>
      </c>
      <c r="BA580" t="s">
        <v>74</v>
      </c>
      <c r="BB580">
        <v>9297</v>
      </c>
      <c r="BC580">
        <v>9306</v>
      </c>
      <c r="BD580" t="s">
        <v>74</v>
      </c>
      <c r="BE580" t="s">
        <v>524</v>
      </c>
      <c r="BF580" t="str">
        <f>HYPERLINK("http://dx.doi.org/10.1096/fj.202000463R","http://dx.doi.org/10.1096/fj.202000463R")</f>
        <v>http://dx.doi.org/10.1096/fj.202000463R</v>
      </c>
      <c r="BG580" t="s">
        <v>74</v>
      </c>
      <c r="BH580" t="s">
        <v>525</v>
      </c>
      <c r="BI580" t="s">
        <v>74</v>
      </c>
      <c r="BJ580" t="s">
        <v>526</v>
      </c>
      <c r="BK580" t="s">
        <v>112</v>
      </c>
      <c r="BL580" t="s">
        <v>527</v>
      </c>
      <c r="BM580" t="s">
        <v>74</v>
      </c>
      <c r="BN580">
        <v>32441840</v>
      </c>
      <c r="BO580" t="s">
        <v>74</v>
      </c>
      <c r="BP580" t="s">
        <v>74</v>
      </c>
      <c r="BQ580" t="s">
        <v>74</v>
      </c>
      <c r="BR580" t="s">
        <v>93</v>
      </c>
      <c r="BS580" t="s">
        <v>528</v>
      </c>
      <c r="BT580" t="str">
        <f>HYPERLINK("https%3A%2F%2Fwww.webofscience.com%2Fwos%2Fwoscc%2Ffull-record%2FWOS:000535411400001","View Full Record in Web of Science")</f>
        <v>View Full Record in Web of Science</v>
      </c>
    </row>
    <row r="581" spans="1:72" x14ac:dyDescent="0.15">
      <c r="A581" t="s">
        <v>312</v>
      </c>
      <c r="B581" t="s">
        <v>548</v>
      </c>
      <c r="C581" t="s">
        <v>74</v>
      </c>
      <c r="D581" t="s">
        <v>549</v>
      </c>
      <c r="E581" t="s">
        <v>74</v>
      </c>
      <c r="F581" t="s">
        <v>550</v>
      </c>
      <c r="G581" t="s">
        <v>74</v>
      </c>
      <c r="H581" t="s">
        <v>74</v>
      </c>
      <c r="I581" t="s">
        <v>551</v>
      </c>
      <c r="J581" t="s">
        <v>552</v>
      </c>
      <c r="K581" t="s">
        <v>318</v>
      </c>
      <c r="L581" t="s">
        <v>74</v>
      </c>
      <c r="M581" t="s">
        <v>74</v>
      </c>
      <c r="N581" t="s">
        <v>319</v>
      </c>
      <c r="O581" t="s">
        <v>74</v>
      </c>
      <c r="P581" t="s">
        <v>74</v>
      </c>
      <c r="Q581" t="s">
        <v>74</v>
      </c>
      <c r="R581" t="s">
        <v>74</v>
      </c>
      <c r="S581" t="s">
        <v>74</v>
      </c>
      <c r="T581" t="s">
        <v>553</v>
      </c>
      <c r="U581" t="s">
        <v>554</v>
      </c>
      <c r="V581" t="s">
        <v>555</v>
      </c>
      <c r="W581" t="s">
        <v>556</v>
      </c>
      <c r="X581" t="s">
        <v>557</v>
      </c>
      <c r="Y581" t="s">
        <v>558</v>
      </c>
      <c r="Z581" t="s">
        <v>74</v>
      </c>
      <c r="AA581" t="s">
        <v>559</v>
      </c>
      <c r="AB581" t="s">
        <v>560</v>
      </c>
      <c r="AC581" t="s">
        <v>74</v>
      </c>
      <c r="AD581" t="s">
        <v>74</v>
      </c>
      <c r="AE581" t="s">
        <v>74</v>
      </c>
      <c r="AF581" t="s">
        <v>74</v>
      </c>
      <c r="AG581">
        <v>39</v>
      </c>
      <c r="AH581">
        <v>2</v>
      </c>
      <c r="AI581">
        <v>2</v>
      </c>
      <c r="AJ581">
        <v>1</v>
      </c>
      <c r="AK581">
        <v>1</v>
      </c>
      <c r="AL581" t="s">
        <v>74</v>
      </c>
      <c r="AM581" t="s">
        <v>74</v>
      </c>
      <c r="AN581" t="s">
        <v>74</v>
      </c>
      <c r="AO581" t="s">
        <v>328</v>
      </c>
      <c r="AP581" t="s">
        <v>329</v>
      </c>
      <c r="AQ581" t="s">
        <v>561</v>
      </c>
      <c r="AR581" t="s">
        <v>74</v>
      </c>
      <c r="AS581" t="s">
        <v>74</v>
      </c>
      <c r="AT581" t="s">
        <v>74</v>
      </c>
      <c r="AU581">
        <v>2021</v>
      </c>
      <c r="AV581">
        <v>2348</v>
      </c>
      <c r="AW581" t="s">
        <v>74</v>
      </c>
      <c r="AX581" t="s">
        <v>74</v>
      </c>
      <c r="AY581" t="s">
        <v>74</v>
      </c>
      <c r="AZ581" t="s">
        <v>74</v>
      </c>
      <c r="BA581" t="s">
        <v>74</v>
      </c>
      <c r="BB581">
        <v>285</v>
      </c>
      <c r="BC581">
        <v>304</v>
      </c>
      <c r="BD581" t="s">
        <v>74</v>
      </c>
      <c r="BE581" t="s">
        <v>562</v>
      </c>
      <c r="BF581" t="str">
        <f>HYPERLINK("http://dx.doi.org/10.1007/978-1-0716-1581-2_20","http://dx.doi.org/10.1007/978-1-0716-1581-2_20")</f>
        <v>http://dx.doi.org/10.1007/978-1-0716-1581-2_20</v>
      </c>
      <c r="BG581" t="s">
        <v>563</v>
      </c>
      <c r="BH581" t="s">
        <v>74</v>
      </c>
      <c r="BI581" t="s">
        <v>74</v>
      </c>
      <c r="BJ581" t="s">
        <v>333</v>
      </c>
      <c r="BK581" t="s">
        <v>334</v>
      </c>
      <c r="BL581" t="s">
        <v>188</v>
      </c>
      <c r="BM581" t="s">
        <v>74</v>
      </c>
      <c r="BN581">
        <v>34160815</v>
      </c>
      <c r="BO581" t="s">
        <v>74</v>
      </c>
      <c r="BP581" t="s">
        <v>74</v>
      </c>
      <c r="BQ581" t="s">
        <v>74</v>
      </c>
      <c r="BR581" t="s">
        <v>93</v>
      </c>
      <c r="BS581" t="s">
        <v>564</v>
      </c>
      <c r="BT581" t="str">
        <f>HYPERLINK("https%3A%2F%2Fwww.webofscience.com%2Fwos%2Fwoscc%2Ffull-record%2FWOS:000684293500021","View Full Record in Web of Science")</f>
        <v>View Full Record in Web of Science</v>
      </c>
    </row>
    <row r="582" spans="1:72" x14ac:dyDescent="0.15">
      <c r="A582" t="s">
        <v>72</v>
      </c>
      <c r="B582" t="s">
        <v>615</v>
      </c>
      <c r="C582" t="s">
        <v>74</v>
      </c>
      <c r="D582" t="s">
        <v>74</v>
      </c>
      <c r="E582" t="s">
        <v>74</v>
      </c>
      <c r="F582" t="s">
        <v>616</v>
      </c>
      <c r="G582" t="s">
        <v>74</v>
      </c>
      <c r="H582" t="s">
        <v>74</v>
      </c>
      <c r="I582" t="s">
        <v>617</v>
      </c>
      <c r="J582" t="s">
        <v>262</v>
      </c>
      <c r="K582" t="s">
        <v>74</v>
      </c>
      <c r="L582" t="s">
        <v>74</v>
      </c>
      <c r="M582" t="s">
        <v>74</v>
      </c>
      <c r="N582" t="s">
        <v>78</v>
      </c>
      <c r="O582" t="s">
        <v>74</v>
      </c>
      <c r="P582" t="s">
        <v>74</v>
      </c>
      <c r="Q582" t="s">
        <v>74</v>
      </c>
      <c r="R582" t="s">
        <v>74</v>
      </c>
      <c r="S582" t="s">
        <v>74</v>
      </c>
      <c r="T582" t="s">
        <v>618</v>
      </c>
      <c r="U582" t="s">
        <v>619</v>
      </c>
      <c r="V582" t="s">
        <v>620</v>
      </c>
      <c r="W582" t="s">
        <v>621</v>
      </c>
      <c r="X582" t="s">
        <v>622</v>
      </c>
      <c r="Y582" t="s">
        <v>623</v>
      </c>
      <c r="Z582" t="s">
        <v>624</v>
      </c>
      <c r="AA582" t="s">
        <v>74</v>
      </c>
      <c r="AB582" t="s">
        <v>625</v>
      </c>
      <c r="AC582" t="s">
        <v>74</v>
      </c>
      <c r="AD582" t="s">
        <v>74</v>
      </c>
      <c r="AE582" t="s">
        <v>74</v>
      </c>
      <c r="AF582" t="s">
        <v>74</v>
      </c>
      <c r="AG582">
        <v>32</v>
      </c>
      <c r="AH582">
        <v>2</v>
      </c>
      <c r="AI582">
        <v>2</v>
      </c>
      <c r="AJ582">
        <v>3</v>
      </c>
      <c r="AK582">
        <v>9</v>
      </c>
      <c r="AL582" t="s">
        <v>74</v>
      </c>
      <c r="AM582" t="s">
        <v>74</v>
      </c>
      <c r="AN582" t="s">
        <v>74</v>
      </c>
      <c r="AO582" t="s">
        <v>270</v>
      </c>
      <c r="AP582" t="s">
        <v>74</v>
      </c>
      <c r="AQ582" t="s">
        <v>74</v>
      </c>
      <c r="AR582" t="s">
        <v>74</v>
      </c>
      <c r="AS582" t="s">
        <v>74</v>
      </c>
      <c r="AT582" t="s">
        <v>626</v>
      </c>
      <c r="AU582">
        <v>2021</v>
      </c>
      <c r="AV582">
        <v>11</v>
      </c>
      <c r="AW582" t="s">
        <v>74</v>
      </c>
      <c r="AX582" t="s">
        <v>74</v>
      </c>
      <c r="AY582" t="s">
        <v>74</v>
      </c>
      <c r="AZ582" t="s">
        <v>74</v>
      </c>
      <c r="BA582" t="s">
        <v>74</v>
      </c>
      <c r="BB582" t="s">
        <v>74</v>
      </c>
      <c r="BC582" t="s">
        <v>74</v>
      </c>
      <c r="BD582">
        <v>691798</v>
      </c>
      <c r="BE582" t="s">
        <v>627</v>
      </c>
      <c r="BF582" t="str">
        <f>HYPERLINK("http://dx.doi.org/10.3389/fonc.2021.691798","http://dx.doi.org/10.3389/fonc.2021.691798")</f>
        <v>http://dx.doi.org/10.3389/fonc.2021.691798</v>
      </c>
      <c r="BG582" t="s">
        <v>74</v>
      </c>
      <c r="BH582" t="s">
        <v>74</v>
      </c>
      <c r="BI582" t="s">
        <v>74</v>
      </c>
      <c r="BJ582" t="s">
        <v>146</v>
      </c>
      <c r="BK582" t="s">
        <v>112</v>
      </c>
      <c r="BL582" t="s">
        <v>146</v>
      </c>
      <c r="BM582" t="s">
        <v>74</v>
      </c>
      <c r="BN582">
        <v>34178690</v>
      </c>
      <c r="BO582" t="s">
        <v>74</v>
      </c>
      <c r="BP582" t="s">
        <v>74</v>
      </c>
      <c r="BQ582" t="s">
        <v>74</v>
      </c>
      <c r="BR582" t="s">
        <v>93</v>
      </c>
      <c r="BS582" t="s">
        <v>628</v>
      </c>
      <c r="BT582" t="str">
        <f>HYPERLINK("https%3A%2F%2Fwww.webofscience.com%2Fwos%2Fwoscc%2Ffull-record%2FWOS:000665794400001","View Full Record in Web of Science")</f>
        <v>View Full Record in Web of Science</v>
      </c>
    </row>
    <row r="583" spans="1:72" x14ac:dyDescent="0.15">
      <c r="A583" t="s">
        <v>312</v>
      </c>
      <c r="B583" t="s">
        <v>746</v>
      </c>
      <c r="C583" t="s">
        <v>74</v>
      </c>
      <c r="D583" t="s">
        <v>747</v>
      </c>
      <c r="E583" t="s">
        <v>74</v>
      </c>
      <c r="F583" t="s">
        <v>748</v>
      </c>
      <c r="G583" t="s">
        <v>74</v>
      </c>
      <c r="H583" t="s">
        <v>74</v>
      </c>
      <c r="I583" t="s">
        <v>749</v>
      </c>
      <c r="J583" t="s">
        <v>750</v>
      </c>
      <c r="K583" t="s">
        <v>751</v>
      </c>
      <c r="L583" t="s">
        <v>74</v>
      </c>
      <c r="M583" t="s">
        <v>74</v>
      </c>
      <c r="N583" t="s">
        <v>752</v>
      </c>
      <c r="O583" t="s">
        <v>753</v>
      </c>
      <c r="P583" t="s">
        <v>754</v>
      </c>
      <c r="Q583" t="s">
        <v>755</v>
      </c>
      <c r="R583" t="s">
        <v>74</v>
      </c>
      <c r="S583" t="s">
        <v>74</v>
      </c>
      <c r="T583" t="s">
        <v>756</v>
      </c>
      <c r="U583" t="s">
        <v>757</v>
      </c>
      <c r="V583" t="s">
        <v>758</v>
      </c>
      <c r="W583" t="s">
        <v>759</v>
      </c>
      <c r="X583" t="s">
        <v>760</v>
      </c>
      <c r="Y583" t="s">
        <v>761</v>
      </c>
      <c r="Z583" t="s">
        <v>762</v>
      </c>
      <c r="AA583" t="s">
        <v>763</v>
      </c>
      <c r="AB583" t="s">
        <v>764</v>
      </c>
      <c r="AC583" t="s">
        <v>74</v>
      </c>
      <c r="AD583" t="s">
        <v>74</v>
      </c>
      <c r="AE583" t="s">
        <v>74</v>
      </c>
      <c r="AF583" t="s">
        <v>74</v>
      </c>
      <c r="AG583">
        <v>18</v>
      </c>
      <c r="AH583">
        <v>2</v>
      </c>
      <c r="AI583">
        <v>2</v>
      </c>
      <c r="AJ583">
        <v>0</v>
      </c>
      <c r="AK583">
        <v>6</v>
      </c>
      <c r="AL583" t="s">
        <v>74</v>
      </c>
      <c r="AM583" t="s">
        <v>74</v>
      </c>
      <c r="AN583" t="s">
        <v>74</v>
      </c>
      <c r="AO583" t="s">
        <v>765</v>
      </c>
      <c r="AP583" t="s">
        <v>74</v>
      </c>
      <c r="AQ583" t="s">
        <v>766</v>
      </c>
      <c r="AR583" t="s">
        <v>74</v>
      </c>
      <c r="AS583" t="s">
        <v>74</v>
      </c>
      <c r="AT583" t="s">
        <v>74</v>
      </c>
      <c r="AU583">
        <v>2016</v>
      </c>
      <c r="AV583">
        <v>924</v>
      </c>
      <c r="AW583" t="s">
        <v>74</v>
      </c>
      <c r="AX583" t="s">
        <v>74</v>
      </c>
      <c r="AY583" t="s">
        <v>74</v>
      </c>
      <c r="AZ583" t="s">
        <v>74</v>
      </c>
      <c r="BA583" t="s">
        <v>74</v>
      </c>
      <c r="BB583">
        <v>85</v>
      </c>
      <c r="BC583">
        <v>89</v>
      </c>
      <c r="BD583" t="s">
        <v>74</v>
      </c>
      <c r="BE583" t="s">
        <v>767</v>
      </c>
      <c r="BF583" t="str">
        <f>HYPERLINK("http://dx.doi.org/10.1007/978-3-319-42044-8_16","http://dx.doi.org/10.1007/978-3-319-42044-8_16")</f>
        <v>http://dx.doi.org/10.1007/978-3-319-42044-8_16</v>
      </c>
      <c r="BG583" t="s">
        <v>768</v>
      </c>
      <c r="BH583" t="s">
        <v>74</v>
      </c>
      <c r="BI583" t="s">
        <v>74</v>
      </c>
      <c r="BJ583" t="s">
        <v>769</v>
      </c>
      <c r="BK583" t="s">
        <v>770</v>
      </c>
      <c r="BL583" t="s">
        <v>771</v>
      </c>
      <c r="BM583" t="s">
        <v>74</v>
      </c>
      <c r="BN583">
        <v>27753024</v>
      </c>
      <c r="BO583" t="s">
        <v>74</v>
      </c>
      <c r="BP583" t="s">
        <v>74</v>
      </c>
      <c r="BQ583" t="s">
        <v>74</v>
      </c>
      <c r="BR583" t="s">
        <v>93</v>
      </c>
      <c r="BS583" t="s">
        <v>772</v>
      </c>
      <c r="BT583" t="str">
        <f>HYPERLINK("https%3A%2F%2Fwww.webofscience.com%2Fwos%2Fwoscc%2Ffull-record%2FWOS:000401116800017","View Full Record in Web of Science")</f>
        <v>View Full Record in Web of Science</v>
      </c>
    </row>
    <row r="584" spans="1:72" x14ac:dyDescent="0.15">
      <c r="A584" t="s">
        <v>72</v>
      </c>
      <c r="B584" t="s">
        <v>1058</v>
      </c>
      <c r="C584" t="s">
        <v>74</v>
      </c>
      <c r="D584" t="s">
        <v>74</v>
      </c>
      <c r="E584" t="s">
        <v>74</v>
      </c>
      <c r="F584" t="s">
        <v>1059</v>
      </c>
      <c r="G584" t="s">
        <v>74</v>
      </c>
      <c r="H584" t="s">
        <v>74</v>
      </c>
      <c r="I584" t="s">
        <v>1060</v>
      </c>
      <c r="J584" t="s">
        <v>1061</v>
      </c>
      <c r="K584" t="s">
        <v>74</v>
      </c>
      <c r="L584" t="s">
        <v>74</v>
      </c>
      <c r="M584" t="s">
        <v>74</v>
      </c>
      <c r="N584" t="s">
        <v>78</v>
      </c>
      <c r="O584" t="s">
        <v>74</v>
      </c>
      <c r="P584" t="s">
        <v>74</v>
      </c>
      <c r="Q584" t="s">
        <v>74</v>
      </c>
      <c r="R584" t="s">
        <v>74</v>
      </c>
      <c r="S584" t="s">
        <v>74</v>
      </c>
      <c r="T584" t="s">
        <v>1062</v>
      </c>
      <c r="U584" t="s">
        <v>1063</v>
      </c>
      <c r="V584" t="s">
        <v>1064</v>
      </c>
      <c r="W584" t="s">
        <v>1065</v>
      </c>
      <c r="X584" t="s">
        <v>1066</v>
      </c>
      <c r="Y584" t="s">
        <v>1067</v>
      </c>
      <c r="Z584" t="s">
        <v>1068</v>
      </c>
      <c r="AA584" t="s">
        <v>1069</v>
      </c>
      <c r="AB584" t="s">
        <v>1070</v>
      </c>
      <c r="AC584" t="s">
        <v>74</v>
      </c>
      <c r="AD584" t="s">
        <v>74</v>
      </c>
      <c r="AE584" t="s">
        <v>74</v>
      </c>
      <c r="AF584" t="s">
        <v>74</v>
      </c>
      <c r="AG584">
        <v>127</v>
      </c>
      <c r="AH584">
        <v>2</v>
      </c>
      <c r="AI584">
        <v>2</v>
      </c>
      <c r="AJ584">
        <v>1</v>
      </c>
      <c r="AK584">
        <v>14</v>
      </c>
      <c r="AL584" t="s">
        <v>74</v>
      </c>
      <c r="AM584" t="s">
        <v>74</v>
      </c>
      <c r="AN584" t="s">
        <v>74</v>
      </c>
      <c r="AO584" t="s">
        <v>1071</v>
      </c>
      <c r="AP584" t="s">
        <v>1072</v>
      </c>
      <c r="AQ584" t="s">
        <v>74</v>
      </c>
      <c r="AR584" t="s">
        <v>74</v>
      </c>
      <c r="AS584" t="s">
        <v>74</v>
      </c>
      <c r="AT584" t="s">
        <v>171</v>
      </c>
      <c r="AU584">
        <v>2021</v>
      </c>
      <c r="AV584">
        <v>13</v>
      </c>
      <c r="AW584" t="s">
        <v>1073</v>
      </c>
      <c r="AX584" t="s">
        <v>74</v>
      </c>
      <c r="AY584" t="s">
        <v>1074</v>
      </c>
      <c r="AZ584" t="s">
        <v>1075</v>
      </c>
      <c r="BA584" t="s">
        <v>74</v>
      </c>
      <c r="BB584" t="s">
        <v>1076</v>
      </c>
      <c r="BC584" t="s">
        <v>1077</v>
      </c>
      <c r="BD584">
        <v>1947603520962567</v>
      </c>
      <c r="BE584" t="s">
        <v>1078</v>
      </c>
      <c r="BF584" t="str">
        <f>HYPERLINK("http://dx.doi.org/10.1177/1947603520962567","http://dx.doi.org/10.1177/1947603520962567")</f>
        <v>http://dx.doi.org/10.1177/1947603520962567</v>
      </c>
      <c r="BG584" t="s">
        <v>74</v>
      </c>
      <c r="BH584" t="s">
        <v>1079</v>
      </c>
      <c r="BI584" t="s">
        <v>74</v>
      </c>
      <c r="BJ584" t="s">
        <v>1080</v>
      </c>
      <c r="BK584" t="s">
        <v>112</v>
      </c>
      <c r="BL584" t="s">
        <v>1080</v>
      </c>
      <c r="BM584" t="s">
        <v>74</v>
      </c>
      <c r="BN584">
        <v>33016114</v>
      </c>
      <c r="BO584" t="s">
        <v>74</v>
      </c>
      <c r="BP584" t="s">
        <v>74</v>
      </c>
      <c r="BQ584" t="s">
        <v>74</v>
      </c>
      <c r="BR584" t="s">
        <v>93</v>
      </c>
      <c r="BS584" t="s">
        <v>1081</v>
      </c>
      <c r="BT584" t="str">
        <f>HYPERLINK("https%3A%2F%2Fwww.webofscience.com%2Fwos%2Fwoscc%2Ffull-record%2FWOS:000579270600001","View Full Record in Web of Science")</f>
        <v>View Full Record in Web of Science</v>
      </c>
    </row>
    <row r="585" spans="1:72" x14ac:dyDescent="0.15">
      <c r="A585" t="s">
        <v>72</v>
      </c>
      <c r="B585" t="s">
        <v>1427</v>
      </c>
      <c r="C585" t="s">
        <v>74</v>
      </c>
      <c r="D585" t="s">
        <v>74</v>
      </c>
      <c r="E585" t="s">
        <v>74</v>
      </c>
      <c r="F585" t="s">
        <v>1428</v>
      </c>
      <c r="G585" t="s">
        <v>74</v>
      </c>
      <c r="H585" t="s">
        <v>74</v>
      </c>
      <c r="I585" t="s">
        <v>1429</v>
      </c>
      <c r="J585" t="s">
        <v>1430</v>
      </c>
      <c r="K585" t="s">
        <v>74</v>
      </c>
      <c r="L585" t="s">
        <v>74</v>
      </c>
      <c r="M585" t="s">
        <v>74</v>
      </c>
      <c r="N585" t="s">
        <v>78</v>
      </c>
      <c r="O585" t="s">
        <v>74</v>
      </c>
      <c r="P585" t="s">
        <v>74</v>
      </c>
      <c r="Q585" t="s">
        <v>74</v>
      </c>
      <c r="R585" t="s">
        <v>74</v>
      </c>
      <c r="S585" t="s">
        <v>74</v>
      </c>
      <c r="T585" t="s">
        <v>1431</v>
      </c>
      <c r="U585" t="s">
        <v>1432</v>
      </c>
      <c r="V585" t="s">
        <v>1433</v>
      </c>
      <c r="W585" t="s">
        <v>1434</v>
      </c>
      <c r="X585" t="s">
        <v>1435</v>
      </c>
      <c r="Y585" t="s">
        <v>1436</v>
      </c>
      <c r="Z585" t="s">
        <v>1437</v>
      </c>
      <c r="AA585" t="s">
        <v>1176</v>
      </c>
      <c r="AB585" t="s">
        <v>1438</v>
      </c>
      <c r="AC585" t="s">
        <v>74</v>
      </c>
      <c r="AD585" t="s">
        <v>74</v>
      </c>
      <c r="AE585" t="s">
        <v>74</v>
      </c>
      <c r="AF585" t="s">
        <v>74</v>
      </c>
      <c r="AG585">
        <v>50</v>
      </c>
      <c r="AH585">
        <v>2</v>
      </c>
      <c r="AI585">
        <v>2</v>
      </c>
      <c r="AJ585">
        <v>3</v>
      </c>
      <c r="AK585">
        <v>26</v>
      </c>
      <c r="AL585" t="s">
        <v>74</v>
      </c>
      <c r="AM585" t="s">
        <v>74</v>
      </c>
      <c r="AN585" t="s">
        <v>74</v>
      </c>
      <c r="AO585" t="s">
        <v>1439</v>
      </c>
      <c r="AP585" t="s">
        <v>1440</v>
      </c>
      <c r="AQ585" t="s">
        <v>74</v>
      </c>
      <c r="AR585" t="s">
        <v>74</v>
      </c>
      <c r="AS585" t="s">
        <v>74</v>
      </c>
      <c r="AT585" t="s">
        <v>437</v>
      </c>
      <c r="AU585">
        <v>2020</v>
      </c>
      <c r="AV585">
        <v>29</v>
      </c>
      <c r="AW585">
        <v>5</v>
      </c>
      <c r="AX585" t="s">
        <v>74</v>
      </c>
      <c r="AY585" t="s">
        <v>74</v>
      </c>
      <c r="AZ585" t="s">
        <v>74</v>
      </c>
      <c r="BA585" t="s">
        <v>74</v>
      </c>
      <c r="BB585">
        <v>776</v>
      </c>
      <c r="BC585">
        <v>782</v>
      </c>
      <c r="BD585" t="s">
        <v>74</v>
      </c>
      <c r="BE585" t="s">
        <v>1441</v>
      </c>
      <c r="BF585" t="str">
        <f>HYPERLINK("http://dx.doi.org/10.1109/JMEMS.2020.3006786","http://dx.doi.org/10.1109/JMEMS.2020.3006786")</f>
        <v>http://dx.doi.org/10.1109/JMEMS.2020.3006786</v>
      </c>
      <c r="BG585" t="s">
        <v>74</v>
      </c>
      <c r="BH585" t="s">
        <v>74</v>
      </c>
      <c r="BI585" t="s">
        <v>74</v>
      </c>
      <c r="BJ585" t="s">
        <v>1442</v>
      </c>
      <c r="BK585" t="s">
        <v>112</v>
      </c>
      <c r="BL585" t="s">
        <v>1443</v>
      </c>
      <c r="BM585" t="s">
        <v>74</v>
      </c>
      <c r="BN585">
        <v>33519169</v>
      </c>
      <c r="BO585" t="s">
        <v>74</v>
      </c>
      <c r="BP585" t="s">
        <v>74</v>
      </c>
      <c r="BQ585" t="s">
        <v>74</v>
      </c>
      <c r="BR585" t="s">
        <v>93</v>
      </c>
      <c r="BS585" t="s">
        <v>1444</v>
      </c>
      <c r="BT585" t="str">
        <f>HYPERLINK("https%3A%2F%2Fwww.webofscience.com%2Fwos%2Fwoscc%2Ffull-record%2FWOS:000576466500023","View Full Record in Web of Science")</f>
        <v>View Full Record in Web of Science</v>
      </c>
    </row>
    <row r="586" spans="1:72" x14ac:dyDescent="0.15">
      <c r="A586" t="s">
        <v>72</v>
      </c>
      <c r="B586" t="s">
        <v>1557</v>
      </c>
      <c r="C586" t="s">
        <v>74</v>
      </c>
      <c r="D586" t="s">
        <v>74</v>
      </c>
      <c r="E586" t="s">
        <v>74</v>
      </c>
      <c r="F586" t="s">
        <v>1558</v>
      </c>
      <c r="G586" t="s">
        <v>74</v>
      </c>
      <c r="H586" t="s">
        <v>74</v>
      </c>
      <c r="I586" t="s">
        <v>1559</v>
      </c>
      <c r="J586" t="s">
        <v>1560</v>
      </c>
      <c r="K586" t="s">
        <v>74</v>
      </c>
      <c r="L586" t="s">
        <v>74</v>
      </c>
      <c r="M586" t="s">
        <v>74</v>
      </c>
      <c r="N586" t="s">
        <v>78</v>
      </c>
      <c r="O586" t="s">
        <v>74</v>
      </c>
      <c r="P586" t="s">
        <v>74</v>
      </c>
      <c r="Q586" t="s">
        <v>74</v>
      </c>
      <c r="R586" t="s">
        <v>74</v>
      </c>
      <c r="S586" t="s">
        <v>74</v>
      </c>
      <c r="T586" t="s">
        <v>74</v>
      </c>
      <c r="U586" t="s">
        <v>1561</v>
      </c>
      <c r="V586" t="s">
        <v>1562</v>
      </c>
      <c r="W586" t="s">
        <v>1563</v>
      </c>
      <c r="X586" t="s">
        <v>1564</v>
      </c>
      <c r="Y586" t="s">
        <v>1565</v>
      </c>
      <c r="Z586" t="s">
        <v>1566</v>
      </c>
      <c r="AA586" t="s">
        <v>1567</v>
      </c>
      <c r="AB586" t="s">
        <v>1568</v>
      </c>
      <c r="AC586" t="s">
        <v>74</v>
      </c>
      <c r="AD586" t="s">
        <v>74</v>
      </c>
      <c r="AE586" t="s">
        <v>74</v>
      </c>
      <c r="AF586" t="s">
        <v>74</v>
      </c>
      <c r="AG586">
        <v>97</v>
      </c>
      <c r="AH586">
        <v>2</v>
      </c>
      <c r="AI586">
        <v>2</v>
      </c>
      <c r="AJ586">
        <v>3</v>
      </c>
      <c r="AK586">
        <v>3</v>
      </c>
      <c r="AL586" t="s">
        <v>74</v>
      </c>
      <c r="AM586" t="s">
        <v>74</v>
      </c>
      <c r="AN586" t="s">
        <v>74</v>
      </c>
      <c r="AO586" t="s">
        <v>74</v>
      </c>
      <c r="AP586" t="s">
        <v>1569</v>
      </c>
      <c r="AQ586" t="s">
        <v>74</v>
      </c>
      <c r="AR586" t="s">
        <v>74</v>
      </c>
      <c r="AS586" t="s">
        <v>74</v>
      </c>
      <c r="AT586" t="s">
        <v>1570</v>
      </c>
      <c r="AU586">
        <v>2021</v>
      </c>
      <c r="AV586">
        <v>22</v>
      </c>
      <c r="AW586" t="s">
        <v>74</v>
      </c>
      <c r="AX586" t="s">
        <v>74</v>
      </c>
      <c r="AY586" t="s">
        <v>74</v>
      </c>
      <c r="AZ586" t="s">
        <v>74</v>
      </c>
      <c r="BA586" t="s">
        <v>74</v>
      </c>
      <c r="BB586">
        <v>360</v>
      </c>
      <c r="BC586">
        <v>376</v>
      </c>
      <c r="BD586" t="s">
        <v>74</v>
      </c>
      <c r="BE586" t="s">
        <v>1571</v>
      </c>
      <c r="BF586" t="str">
        <f>HYPERLINK("http://dx.doi.org/10.1016/j.omtm.2021.05.010","http://dx.doi.org/10.1016/j.omtm.2021.05.010")</f>
        <v>http://dx.doi.org/10.1016/j.omtm.2021.05.010</v>
      </c>
      <c r="BG586" t="s">
        <v>74</v>
      </c>
      <c r="BH586" t="s">
        <v>661</v>
      </c>
      <c r="BI586" t="s">
        <v>74</v>
      </c>
      <c r="BJ586" t="s">
        <v>506</v>
      </c>
      <c r="BK586" t="s">
        <v>112</v>
      </c>
      <c r="BL586" t="s">
        <v>507</v>
      </c>
      <c r="BM586" t="s">
        <v>74</v>
      </c>
      <c r="BN586">
        <v>34514028</v>
      </c>
      <c r="BO586" t="s">
        <v>74</v>
      </c>
      <c r="BP586" t="s">
        <v>74</v>
      </c>
      <c r="BQ586" t="s">
        <v>74</v>
      </c>
      <c r="BR586" t="s">
        <v>93</v>
      </c>
      <c r="BS586" t="s">
        <v>1572</v>
      </c>
      <c r="BT586" t="str">
        <f>HYPERLINK("https%3A%2F%2Fwww.webofscience.com%2Fwos%2Fwoscc%2Ffull-record%2FWOS:000695842600031","View Full Record in Web of Science")</f>
        <v>View Full Record in Web of Science</v>
      </c>
    </row>
    <row r="587" spans="1:72" x14ac:dyDescent="0.15">
      <c r="A587" t="s">
        <v>72</v>
      </c>
      <c r="B587" t="s">
        <v>2073</v>
      </c>
      <c r="C587" t="s">
        <v>74</v>
      </c>
      <c r="D587" t="s">
        <v>74</v>
      </c>
      <c r="E587" t="s">
        <v>74</v>
      </c>
      <c r="F587" t="s">
        <v>2074</v>
      </c>
      <c r="G587" t="s">
        <v>74</v>
      </c>
      <c r="H587" t="s">
        <v>74</v>
      </c>
      <c r="I587" t="s">
        <v>2075</v>
      </c>
      <c r="J587" t="s">
        <v>2076</v>
      </c>
      <c r="K587" t="s">
        <v>74</v>
      </c>
      <c r="L587" t="s">
        <v>74</v>
      </c>
      <c r="M587" t="s">
        <v>74</v>
      </c>
      <c r="N587" t="s">
        <v>78</v>
      </c>
      <c r="O587" t="s">
        <v>74</v>
      </c>
      <c r="P587" t="s">
        <v>74</v>
      </c>
      <c r="Q587" t="s">
        <v>74</v>
      </c>
      <c r="R587" t="s">
        <v>74</v>
      </c>
      <c r="S587" t="s">
        <v>74</v>
      </c>
      <c r="T587" t="s">
        <v>2077</v>
      </c>
      <c r="U587" t="s">
        <v>2078</v>
      </c>
      <c r="V587" t="s">
        <v>2079</v>
      </c>
      <c r="W587" t="s">
        <v>2080</v>
      </c>
      <c r="X587" t="s">
        <v>2081</v>
      </c>
      <c r="Y587" t="s">
        <v>2082</v>
      </c>
      <c r="Z587" t="s">
        <v>2083</v>
      </c>
      <c r="AA587" t="s">
        <v>2084</v>
      </c>
      <c r="AB587" t="s">
        <v>2085</v>
      </c>
      <c r="AC587" t="s">
        <v>74</v>
      </c>
      <c r="AD587" t="s">
        <v>74</v>
      </c>
      <c r="AE587" t="s">
        <v>74</v>
      </c>
      <c r="AF587" t="s">
        <v>74</v>
      </c>
      <c r="AG587">
        <v>48</v>
      </c>
      <c r="AH587">
        <v>2</v>
      </c>
      <c r="AI587">
        <v>3</v>
      </c>
      <c r="AJ587">
        <v>0</v>
      </c>
      <c r="AK587">
        <v>5</v>
      </c>
      <c r="AL587" t="s">
        <v>74</v>
      </c>
      <c r="AM587" t="s">
        <v>74</v>
      </c>
      <c r="AN587" t="s">
        <v>74</v>
      </c>
      <c r="AO587" t="s">
        <v>2086</v>
      </c>
      <c r="AP587" t="s">
        <v>74</v>
      </c>
      <c r="AQ587" t="s">
        <v>74</v>
      </c>
      <c r="AR587" t="s">
        <v>74</v>
      </c>
      <c r="AS587" t="s">
        <v>74</v>
      </c>
      <c r="AT587" t="s">
        <v>2087</v>
      </c>
      <c r="AU587">
        <v>2018</v>
      </c>
      <c r="AV587">
        <v>8</v>
      </c>
      <c r="AW587" t="s">
        <v>74</v>
      </c>
      <c r="AX587" t="s">
        <v>74</v>
      </c>
      <c r="AY587" t="s">
        <v>74</v>
      </c>
      <c r="AZ587" t="s">
        <v>74</v>
      </c>
      <c r="BA587" t="s">
        <v>74</v>
      </c>
      <c r="BB587" t="s">
        <v>74</v>
      </c>
      <c r="BC587" t="s">
        <v>74</v>
      </c>
      <c r="BD587">
        <v>412</v>
      </c>
      <c r="BE587" t="s">
        <v>2088</v>
      </c>
      <c r="BF587" t="str">
        <f>HYPERLINK("http://dx.doi.org/10.3389/fcimb.2018.00412","http://dx.doi.org/10.3389/fcimb.2018.00412")</f>
        <v>http://dx.doi.org/10.3389/fcimb.2018.00412</v>
      </c>
      <c r="BG587" t="s">
        <v>74</v>
      </c>
      <c r="BH587" t="s">
        <v>74</v>
      </c>
      <c r="BI587" t="s">
        <v>74</v>
      </c>
      <c r="BJ587" t="s">
        <v>2089</v>
      </c>
      <c r="BK587" t="s">
        <v>112</v>
      </c>
      <c r="BL587" t="s">
        <v>2089</v>
      </c>
      <c r="BM587" t="s">
        <v>74</v>
      </c>
      <c r="BN587">
        <v>30519544</v>
      </c>
      <c r="BO587" t="s">
        <v>74</v>
      </c>
      <c r="BP587" t="s">
        <v>74</v>
      </c>
      <c r="BQ587" t="s">
        <v>74</v>
      </c>
      <c r="BR587" t="s">
        <v>93</v>
      </c>
      <c r="BS587" t="s">
        <v>2090</v>
      </c>
      <c r="BT587" t="str">
        <f>HYPERLINK("https%3A%2F%2Fwww.webofscience.com%2Fwos%2Fwoscc%2Ffull-record%2FWOS:000450940900001","View Full Record in Web of Science")</f>
        <v>View Full Record in Web of Science</v>
      </c>
    </row>
    <row r="588" spans="1:72" x14ac:dyDescent="0.15">
      <c r="A588" t="s">
        <v>72</v>
      </c>
      <c r="B588" t="s">
        <v>2091</v>
      </c>
      <c r="C588" t="s">
        <v>74</v>
      </c>
      <c r="D588" t="s">
        <v>74</v>
      </c>
      <c r="E588" t="s">
        <v>74</v>
      </c>
      <c r="F588" t="s">
        <v>2092</v>
      </c>
      <c r="G588" t="s">
        <v>74</v>
      </c>
      <c r="H588" t="s">
        <v>74</v>
      </c>
      <c r="I588" t="s">
        <v>2093</v>
      </c>
      <c r="J588" t="s">
        <v>2094</v>
      </c>
      <c r="K588" t="s">
        <v>74</v>
      </c>
      <c r="L588" t="s">
        <v>74</v>
      </c>
      <c r="M588" t="s">
        <v>74</v>
      </c>
      <c r="N588" t="s">
        <v>78</v>
      </c>
      <c r="O588" t="s">
        <v>74</v>
      </c>
      <c r="P588" t="s">
        <v>74</v>
      </c>
      <c r="Q588" t="s">
        <v>74</v>
      </c>
      <c r="R588" t="s">
        <v>74</v>
      </c>
      <c r="S588" t="s">
        <v>74</v>
      </c>
      <c r="T588" t="s">
        <v>2095</v>
      </c>
      <c r="U588" t="s">
        <v>2096</v>
      </c>
      <c r="V588" t="s">
        <v>2097</v>
      </c>
      <c r="W588" t="s">
        <v>2098</v>
      </c>
      <c r="X588" t="s">
        <v>2099</v>
      </c>
      <c r="Y588" t="s">
        <v>2100</v>
      </c>
      <c r="Z588" t="s">
        <v>2101</v>
      </c>
      <c r="AA588" t="s">
        <v>74</v>
      </c>
      <c r="AB588" t="s">
        <v>2102</v>
      </c>
      <c r="AC588" t="s">
        <v>74</v>
      </c>
      <c r="AD588" t="s">
        <v>74</v>
      </c>
      <c r="AE588" t="s">
        <v>74</v>
      </c>
      <c r="AF588" t="s">
        <v>74</v>
      </c>
      <c r="AG588">
        <v>65</v>
      </c>
      <c r="AH588">
        <v>2</v>
      </c>
      <c r="AI588">
        <v>2</v>
      </c>
      <c r="AJ588">
        <v>5</v>
      </c>
      <c r="AK588">
        <v>5</v>
      </c>
      <c r="AL588" t="s">
        <v>74</v>
      </c>
      <c r="AM588" t="s">
        <v>74</v>
      </c>
      <c r="AN588" t="s">
        <v>74</v>
      </c>
      <c r="AO588" t="s">
        <v>74</v>
      </c>
      <c r="AP588" t="s">
        <v>2103</v>
      </c>
      <c r="AQ588" t="s">
        <v>74</v>
      </c>
      <c r="AR588" t="s">
        <v>74</v>
      </c>
      <c r="AS588" t="s">
        <v>74</v>
      </c>
      <c r="AT588" t="s">
        <v>640</v>
      </c>
      <c r="AU588">
        <v>2022</v>
      </c>
      <c r="AV588">
        <v>11</v>
      </c>
      <c r="AW588">
        <v>3</v>
      </c>
      <c r="AX588" t="s">
        <v>74</v>
      </c>
      <c r="AY588" t="s">
        <v>74</v>
      </c>
      <c r="AZ588" t="s">
        <v>74</v>
      </c>
      <c r="BA588" t="s">
        <v>74</v>
      </c>
      <c r="BB588" t="s">
        <v>74</v>
      </c>
      <c r="BC588" t="s">
        <v>74</v>
      </c>
      <c r="BD588">
        <v>369</v>
      </c>
      <c r="BE588" t="s">
        <v>2104</v>
      </c>
      <c r="BF588" t="str">
        <f>HYPERLINK("http://dx.doi.org/10.3390/cells11030369","http://dx.doi.org/10.3390/cells11030369")</f>
        <v>http://dx.doi.org/10.3390/cells11030369</v>
      </c>
      <c r="BG588" t="s">
        <v>74</v>
      </c>
      <c r="BH588" t="s">
        <v>74</v>
      </c>
      <c r="BI588" t="s">
        <v>74</v>
      </c>
      <c r="BJ588" t="s">
        <v>419</v>
      </c>
      <c r="BK588" t="s">
        <v>112</v>
      </c>
      <c r="BL588" t="s">
        <v>419</v>
      </c>
      <c r="BM588" t="s">
        <v>74</v>
      </c>
      <c r="BN588">
        <v>35159179</v>
      </c>
      <c r="BO588" t="s">
        <v>74</v>
      </c>
      <c r="BP588" t="s">
        <v>74</v>
      </c>
      <c r="BQ588" t="s">
        <v>74</v>
      </c>
      <c r="BR588" t="s">
        <v>93</v>
      </c>
      <c r="BS588" t="s">
        <v>2105</v>
      </c>
      <c r="BT588" t="str">
        <f>HYPERLINK("https%3A%2F%2Fwww.webofscience.com%2Fwos%2Fwoscc%2Ffull-record%2FWOS:000759619200001","View Full Record in Web of Science")</f>
        <v>View Full Record in Web of Science</v>
      </c>
    </row>
    <row r="589" spans="1:72" x14ac:dyDescent="0.15">
      <c r="A589" t="s">
        <v>72</v>
      </c>
      <c r="B589" t="s">
        <v>2324</v>
      </c>
      <c r="C589" t="s">
        <v>74</v>
      </c>
      <c r="D589" t="s">
        <v>74</v>
      </c>
      <c r="E589" t="s">
        <v>74</v>
      </c>
      <c r="F589" t="s">
        <v>2325</v>
      </c>
      <c r="G589" t="s">
        <v>74</v>
      </c>
      <c r="H589" t="s">
        <v>74</v>
      </c>
      <c r="I589" t="s">
        <v>2326</v>
      </c>
      <c r="J589" t="s">
        <v>1871</v>
      </c>
      <c r="K589" t="s">
        <v>74</v>
      </c>
      <c r="L589" t="s">
        <v>74</v>
      </c>
      <c r="M589" t="s">
        <v>74</v>
      </c>
      <c r="N589" t="s">
        <v>78</v>
      </c>
      <c r="O589" t="s">
        <v>74</v>
      </c>
      <c r="P589" t="s">
        <v>74</v>
      </c>
      <c r="Q589" t="s">
        <v>74</v>
      </c>
      <c r="R589" t="s">
        <v>74</v>
      </c>
      <c r="S589" t="s">
        <v>74</v>
      </c>
      <c r="T589" t="s">
        <v>2327</v>
      </c>
      <c r="U589" t="s">
        <v>2328</v>
      </c>
      <c r="V589" t="s">
        <v>2329</v>
      </c>
      <c r="W589" t="s">
        <v>2330</v>
      </c>
      <c r="X589" t="s">
        <v>74</v>
      </c>
      <c r="Y589" t="s">
        <v>2331</v>
      </c>
      <c r="Z589" t="s">
        <v>2332</v>
      </c>
      <c r="AA589" t="s">
        <v>2333</v>
      </c>
      <c r="AB589" t="s">
        <v>2334</v>
      </c>
      <c r="AC589" t="s">
        <v>74</v>
      </c>
      <c r="AD589" t="s">
        <v>74</v>
      </c>
      <c r="AE589" t="s">
        <v>74</v>
      </c>
      <c r="AF589" t="s">
        <v>74</v>
      </c>
      <c r="AG589">
        <v>38</v>
      </c>
      <c r="AH589">
        <v>2</v>
      </c>
      <c r="AI589">
        <v>2</v>
      </c>
      <c r="AJ589">
        <v>0</v>
      </c>
      <c r="AK589">
        <v>0</v>
      </c>
      <c r="AL589" t="s">
        <v>74</v>
      </c>
      <c r="AM589" t="s">
        <v>74</v>
      </c>
      <c r="AN589" t="s">
        <v>74</v>
      </c>
      <c r="AO589" t="s">
        <v>74</v>
      </c>
      <c r="AP589" t="s">
        <v>1881</v>
      </c>
      <c r="AQ589" t="s">
        <v>74</v>
      </c>
      <c r="AR589" t="s">
        <v>74</v>
      </c>
      <c r="AS589" t="s">
        <v>74</v>
      </c>
      <c r="AT589" t="s">
        <v>640</v>
      </c>
      <c r="AU589">
        <v>2022</v>
      </c>
      <c r="AV589">
        <v>14</v>
      </c>
      <c r="AW589">
        <v>2</v>
      </c>
      <c r="AX589" t="s">
        <v>74</v>
      </c>
      <c r="AY589" t="s">
        <v>74</v>
      </c>
      <c r="AZ589" t="s">
        <v>74</v>
      </c>
      <c r="BA589" t="s">
        <v>74</v>
      </c>
      <c r="BB589" t="s">
        <v>74</v>
      </c>
      <c r="BC589" t="s">
        <v>74</v>
      </c>
      <c r="BD589">
        <v>329</v>
      </c>
      <c r="BE589" t="s">
        <v>2335</v>
      </c>
      <c r="BF589" t="str">
        <f>HYPERLINK("http://dx.doi.org/10.3390/v14020329","http://dx.doi.org/10.3390/v14020329")</f>
        <v>http://dx.doi.org/10.3390/v14020329</v>
      </c>
      <c r="BG589" t="s">
        <v>74</v>
      </c>
      <c r="BH589" t="s">
        <v>74</v>
      </c>
      <c r="BI589" t="s">
        <v>74</v>
      </c>
      <c r="BJ589" t="s">
        <v>401</v>
      </c>
      <c r="BK589" t="s">
        <v>112</v>
      </c>
      <c r="BL589" t="s">
        <v>401</v>
      </c>
      <c r="BM589" t="s">
        <v>74</v>
      </c>
      <c r="BN589">
        <v>35215922</v>
      </c>
      <c r="BO589" t="s">
        <v>74</v>
      </c>
      <c r="BP589" t="s">
        <v>74</v>
      </c>
      <c r="BQ589" t="s">
        <v>74</v>
      </c>
      <c r="BR589" t="s">
        <v>93</v>
      </c>
      <c r="BS589" t="s">
        <v>2336</v>
      </c>
      <c r="BT589" t="str">
        <f>HYPERLINK("https%3A%2F%2Fwww.webofscience.com%2Fwos%2Fwoscc%2Ffull-record%2FWOS:000762478400001","View Full Record in Web of Science")</f>
        <v>View Full Record in Web of Science</v>
      </c>
    </row>
    <row r="590" spans="1:72" x14ac:dyDescent="0.15">
      <c r="A590" t="s">
        <v>72</v>
      </c>
      <c r="B590" t="s">
        <v>2525</v>
      </c>
      <c r="C590" t="s">
        <v>74</v>
      </c>
      <c r="D590" t="s">
        <v>74</v>
      </c>
      <c r="E590" t="s">
        <v>74</v>
      </c>
      <c r="F590" t="s">
        <v>2526</v>
      </c>
      <c r="G590" t="s">
        <v>74</v>
      </c>
      <c r="H590" t="s">
        <v>74</v>
      </c>
      <c r="I590" t="s">
        <v>2527</v>
      </c>
      <c r="J590" t="s">
        <v>2528</v>
      </c>
      <c r="K590" t="s">
        <v>74</v>
      </c>
      <c r="L590" t="s">
        <v>74</v>
      </c>
      <c r="M590" t="s">
        <v>74</v>
      </c>
      <c r="N590" t="s">
        <v>78</v>
      </c>
      <c r="O590" t="s">
        <v>74</v>
      </c>
      <c r="P590" t="s">
        <v>74</v>
      </c>
      <c r="Q590" t="s">
        <v>74</v>
      </c>
      <c r="R590" t="s">
        <v>74</v>
      </c>
      <c r="S590" t="s">
        <v>74</v>
      </c>
      <c r="T590" t="s">
        <v>2529</v>
      </c>
      <c r="U590" t="s">
        <v>2530</v>
      </c>
      <c r="V590" t="s">
        <v>2531</v>
      </c>
      <c r="W590" t="s">
        <v>2532</v>
      </c>
      <c r="X590" t="s">
        <v>2533</v>
      </c>
      <c r="Y590" t="s">
        <v>2534</v>
      </c>
      <c r="Z590" t="s">
        <v>2535</v>
      </c>
      <c r="AA590" t="s">
        <v>74</v>
      </c>
      <c r="AB590" t="s">
        <v>2536</v>
      </c>
      <c r="AC590" t="s">
        <v>74</v>
      </c>
      <c r="AD590" t="s">
        <v>74</v>
      </c>
      <c r="AE590" t="s">
        <v>74</v>
      </c>
      <c r="AF590" t="s">
        <v>74</v>
      </c>
      <c r="AG590">
        <v>48</v>
      </c>
      <c r="AH590">
        <v>2</v>
      </c>
      <c r="AI590">
        <v>2</v>
      </c>
      <c r="AJ590">
        <v>53</v>
      </c>
      <c r="AK590">
        <v>68</v>
      </c>
      <c r="AL590" t="s">
        <v>74</v>
      </c>
      <c r="AM590" t="s">
        <v>74</v>
      </c>
      <c r="AN590" t="s">
        <v>74</v>
      </c>
      <c r="AO590" t="s">
        <v>2537</v>
      </c>
      <c r="AP590" t="s">
        <v>2538</v>
      </c>
      <c r="AQ590" t="s">
        <v>74</v>
      </c>
      <c r="AR590" t="s">
        <v>74</v>
      </c>
      <c r="AS590" t="s">
        <v>74</v>
      </c>
      <c r="AT590" t="s">
        <v>2539</v>
      </c>
      <c r="AU590">
        <v>2022</v>
      </c>
      <c r="AV590">
        <v>29</v>
      </c>
      <c r="AW590">
        <v>1</v>
      </c>
      <c r="AX590" t="s">
        <v>74</v>
      </c>
      <c r="AY590" t="s">
        <v>74</v>
      </c>
      <c r="AZ590" t="s">
        <v>74</v>
      </c>
      <c r="BA590" t="s">
        <v>74</v>
      </c>
      <c r="BB590">
        <v>192</v>
      </c>
      <c r="BC590">
        <v>202</v>
      </c>
      <c r="BD590" t="s">
        <v>74</v>
      </c>
      <c r="BE590" t="s">
        <v>2540</v>
      </c>
      <c r="BF590" t="str">
        <f>HYPERLINK("http://dx.doi.org/10.1080/10717544.2021.2023697","http://dx.doi.org/10.1080/10717544.2021.2023697")</f>
        <v>http://dx.doi.org/10.1080/10717544.2021.2023697</v>
      </c>
      <c r="BG590" t="s">
        <v>74</v>
      </c>
      <c r="BH590" t="s">
        <v>74</v>
      </c>
      <c r="BI590" t="s">
        <v>74</v>
      </c>
      <c r="BJ590" t="s">
        <v>1275</v>
      </c>
      <c r="BK590" t="s">
        <v>112</v>
      </c>
      <c r="BL590" t="s">
        <v>1275</v>
      </c>
      <c r="BM590" t="s">
        <v>74</v>
      </c>
      <c r="BN590">
        <v>34984953</v>
      </c>
      <c r="BO590" t="s">
        <v>74</v>
      </c>
      <c r="BP590" t="s">
        <v>74</v>
      </c>
      <c r="BQ590" t="s">
        <v>74</v>
      </c>
      <c r="BR590" t="s">
        <v>93</v>
      </c>
      <c r="BS590" t="s">
        <v>2541</v>
      </c>
      <c r="BT590" t="str">
        <f>HYPERLINK("https%3A%2F%2Fwww.webofscience.com%2Fwos%2Fwoscc%2Ffull-record%2FWOS:000739359600001","View Full Record in Web of Science")</f>
        <v>View Full Record in Web of Science</v>
      </c>
    </row>
    <row r="591" spans="1:72" x14ac:dyDescent="0.15">
      <c r="A591" t="s">
        <v>72</v>
      </c>
      <c r="B591" t="s">
        <v>2621</v>
      </c>
      <c r="C591" t="s">
        <v>74</v>
      </c>
      <c r="D591" t="s">
        <v>74</v>
      </c>
      <c r="E591" t="s">
        <v>74</v>
      </c>
      <c r="F591" t="s">
        <v>2622</v>
      </c>
      <c r="G591" t="s">
        <v>74</v>
      </c>
      <c r="H591" t="s">
        <v>74</v>
      </c>
      <c r="I591" t="s">
        <v>2623</v>
      </c>
      <c r="J591" t="s">
        <v>2624</v>
      </c>
      <c r="K591" t="s">
        <v>74</v>
      </c>
      <c r="L591" t="s">
        <v>74</v>
      </c>
      <c r="M591" t="s">
        <v>74</v>
      </c>
      <c r="N591" t="s">
        <v>78</v>
      </c>
      <c r="O591" t="s">
        <v>74</v>
      </c>
      <c r="P591" t="s">
        <v>74</v>
      </c>
      <c r="Q591" t="s">
        <v>74</v>
      </c>
      <c r="R591" t="s">
        <v>74</v>
      </c>
      <c r="S591" t="s">
        <v>74</v>
      </c>
      <c r="T591" t="s">
        <v>2625</v>
      </c>
      <c r="U591" t="s">
        <v>2626</v>
      </c>
      <c r="V591" t="s">
        <v>2627</v>
      </c>
      <c r="W591" t="s">
        <v>2628</v>
      </c>
      <c r="X591" t="s">
        <v>2629</v>
      </c>
      <c r="Y591" t="s">
        <v>2630</v>
      </c>
      <c r="Z591" t="s">
        <v>2631</v>
      </c>
      <c r="AA591" t="s">
        <v>74</v>
      </c>
      <c r="AB591" t="s">
        <v>2632</v>
      </c>
      <c r="AC591" t="s">
        <v>74</v>
      </c>
      <c r="AD591" t="s">
        <v>74</v>
      </c>
      <c r="AE591" t="s">
        <v>74</v>
      </c>
      <c r="AF591" t="s">
        <v>74</v>
      </c>
      <c r="AG591">
        <v>59</v>
      </c>
      <c r="AH591">
        <v>2</v>
      </c>
      <c r="AI591">
        <v>2</v>
      </c>
      <c r="AJ591">
        <v>1</v>
      </c>
      <c r="AK591">
        <v>8</v>
      </c>
      <c r="AL591" t="s">
        <v>74</v>
      </c>
      <c r="AM591" t="s">
        <v>74</v>
      </c>
      <c r="AN591" t="s">
        <v>74</v>
      </c>
      <c r="AO591" t="s">
        <v>2633</v>
      </c>
      <c r="AP591" t="s">
        <v>2634</v>
      </c>
      <c r="AQ591" t="s">
        <v>74</v>
      </c>
      <c r="AR591" t="s">
        <v>74</v>
      </c>
      <c r="AS591" t="s">
        <v>74</v>
      </c>
      <c r="AT591" t="s">
        <v>88</v>
      </c>
      <c r="AU591">
        <v>2021</v>
      </c>
      <c r="AV591">
        <v>29</v>
      </c>
      <c r="AW591">
        <v>6</v>
      </c>
      <c r="AX591" t="s">
        <v>74</v>
      </c>
      <c r="AY591" t="s">
        <v>74</v>
      </c>
      <c r="AZ591" t="s">
        <v>74</v>
      </c>
      <c r="BA591" t="s">
        <v>74</v>
      </c>
      <c r="BB591">
        <v>573</v>
      </c>
      <c r="BC591">
        <v>584</v>
      </c>
      <c r="BD591" t="s">
        <v>74</v>
      </c>
      <c r="BE591" t="s">
        <v>2635</v>
      </c>
      <c r="BF591" t="str">
        <f>HYPERLINK("http://dx.doi.org/10.1016/j.jagp.2020.10.012","http://dx.doi.org/10.1016/j.jagp.2020.10.012")</f>
        <v>http://dx.doi.org/10.1016/j.jagp.2020.10.012</v>
      </c>
      <c r="BG591" t="s">
        <v>74</v>
      </c>
      <c r="BH591" t="s">
        <v>1055</v>
      </c>
      <c r="BI591" t="s">
        <v>74</v>
      </c>
      <c r="BJ591" t="s">
        <v>2636</v>
      </c>
      <c r="BK591" t="s">
        <v>1460</v>
      </c>
      <c r="BL591" t="s">
        <v>2637</v>
      </c>
      <c r="BM591" t="s">
        <v>74</v>
      </c>
      <c r="BN591">
        <v>33160816</v>
      </c>
      <c r="BO591" t="s">
        <v>74</v>
      </c>
      <c r="BP591" t="s">
        <v>74</v>
      </c>
      <c r="BQ591" t="s">
        <v>74</v>
      </c>
      <c r="BR591" t="s">
        <v>93</v>
      </c>
      <c r="BS591" t="s">
        <v>2638</v>
      </c>
      <c r="BT591" t="str">
        <f>HYPERLINK("https%3A%2F%2Fwww.webofscience.com%2Fwos%2Fwoscc%2Ffull-record%2FWOS:000651382700010","View Full Record in Web of Science")</f>
        <v>View Full Record in Web of Science</v>
      </c>
    </row>
    <row r="592" spans="1:72" x14ac:dyDescent="0.15">
      <c r="A592" t="s">
        <v>72</v>
      </c>
      <c r="B592" t="s">
        <v>3065</v>
      </c>
      <c r="C592" t="s">
        <v>74</v>
      </c>
      <c r="D592" t="s">
        <v>74</v>
      </c>
      <c r="E592" t="s">
        <v>74</v>
      </c>
      <c r="F592" t="s">
        <v>3066</v>
      </c>
      <c r="G592" t="s">
        <v>74</v>
      </c>
      <c r="H592" t="s">
        <v>74</v>
      </c>
      <c r="I592" t="s">
        <v>3067</v>
      </c>
      <c r="J592" t="s">
        <v>1828</v>
      </c>
      <c r="K592" t="s">
        <v>74</v>
      </c>
      <c r="L592" t="s">
        <v>74</v>
      </c>
      <c r="M592" t="s">
        <v>74</v>
      </c>
      <c r="N592" t="s">
        <v>78</v>
      </c>
      <c r="O592" t="s">
        <v>74</v>
      </c>
      <c r="P592" t="s">
        <v>74</v>
      </c>
      <c r="Q592" t="s">
        <v>74</v>
      </c>
      <c r="R592" t="s">
        <v>74</v>
      </c>
      <c r="S592" t="s">
        <v>74</v>
      </c>
      <c r="T592" t="s">
        <v>74</v>
      </c>
      <c r="U592" t="s">
        <v>3068</v>
      </c>
      <c r="V592" t="s">
        <v>3069</v>
      </c>
      <c r="W592" t="s">
        <v>3070</v>
      </c>
      <c r="X592" t="s">
        <v>3071</v>
      </c>
      <c r="Y592" t="s">
        <v>3072</v>
      </c>
      <c r="Z592" t="s">
        <v>3073</v>
      </c>
      <c r="AA592" t="s">
        <v>3074</v>
      </c>
      <c r="AB592" t="s">
        <v>3075</v>
      </c>
      <c r="AC592" t="s">
        <v>74</v>
      </c>
      <c r="AD592" t="s">
        <v>74</v>
      </c>
      <c r="AE592" t="s">
        <v>74</v>
      </c>
      <c r="AF592" t="s">
        <v>74</v>
      </c>
      <c r="AG592">
        <v>46</v>
      </c>
      <c r="AH592">
        <v>2</v>
      </c>
      <c r="AI592">
        <v>2</v>
      </c>
      <c r="AJ592">
        <v>1</v>
      </c>
      <c r="AK592">
        <v>6</v>
      </c>
      <c r="AL592" t="s">
        <v>74</v>
      </c>
      <c r="AM592" t="s">
        <v>74</v>
      </c>
      <c r="AN592" t="s">
        <v>74</v>
      </c>
      <c r="AO592" t="s">
        <v>1837</v>
      </c>
      <c r="AP592" t="s">
        <v>74</v>
      </c>
      <c r="AQ592" t="s">
        <v>74</v>
      </c>
      <c r="AR592" t="s">
        <v>74</v>
      </c>
      <c r="AS592" t="s">
        <v>74</v>
      </c>
      <c r="AT592" t="s">
        <v>3076</v>
      </c>
      <c r="AU592">
        <v>2021</v>
      </c>
      <c r="AV592">
        <v>11</v>
      </c>
      <c r="AW592">
        <v>1</v>
      </c>
      <c r="AX592" t="s">
        <v>74</v>
      </c>
      <c r="AY592" t="s">
        <v>74</v>
      </c>
      <c r="AZ592" t="s">
        <v>74</v>
      </c>
      <c r="BA592" t="s">
        <v>74</v>
      </c>
      <c r="BB592" t="s">
        <v>74</v>
      </c>
      <c r="BC592" t="s">
        <v>74</v>
      </c>
      <c r="BD592">
        <v>8085</v>
      </c>
      <c r="BE592" t="s">
        <v>3077</v>
      </c>
      <c r="BF592" t="str">
        <f>HYPERLINK("http://dx.doi.org/10.1038/s41598-021-87526-y","http://dx.doi.org/10.1038/s41598-021-87526-y")</f>
        <v>http://dx.doi.org/10.1038/s41598-021-87526-y</v>
      </c>
      <c r="BG592" t="s">
        <v>74</v>
      </c>
      <c r="BH592" t="s">
        <v>74</v>
      </c>
      <c r="BI592" t="s">
        <v>74</v>
      </c>
      <c r="BJ592" t="s">
        <v>545</v>
      </c>
      <c r="BK592" t="s">
        <v>112</v>
      </c>
      <c r="BL592" t="s">
        <v>546</v>
      </c>
      <c r="BM592" t="s">
        <v>74</v>
      </c>
      <c r="BN592">
        <v>33850235</v>
      </c>
      <c r="BO592" t="s">
        <v>74</v>
      </c>
      <c r="BP592" t="s">
        <v>74</v>
      </c>
      <c r="BQ592" t="s">
        <v>74</v>
      </c>
      <c r="BR592" t="s">
        <v>93</v>
      </c>
      <c r="BS592" t="s">
        <v>3078</v>
      </c>
      <c r="BT592" t="str">
        <f>HYPERLINK("https%3A%2F%2Fwww.webofscience.com%2Fwos%2Fwoscc%2Ffull-record%2FWOS:000640612400036","View Full Record in Web of Science")</f>
        <v>View Full Record in Web of Science</v>
      </c>
    </row>
    <row r="593" spans="1:72" x14ac:dyDescent="0.15">
      <c r="A593" t="s">
        <v>72</v>
      </c>
      <c r="B593" t="s">
        <v>3248</v>
      </c>
      <c r="C593" t="s">
        <v>74</v>
      </c>
      <c r="D593" t="s">
        <v>74</v>
      </c>
      <c r="E593" t="s">
        <v>74</v>
      </c>
      <c r="F593" t="s">
        <v>3249</v>
      </c>
      <c r="G593" t="s">
        <v>74</v>
      </c>
      <c r="H593" t="s">
        <v>74</v>
      </c>
      <c r="I593" t="s">
        <v>3250</v>
      </c>
      <c r="J593" t="s">
        <v>3251</v>
      </c>
      <c r="K593" t="s">
        <v>74</v>
      </c>
      <c r="L593" t="s">
        <v>74</v>
      </c>
      <c r="M593" t="s">
        <v>74</v>
      </c>
      <c r="N593" t="s">
        <v>2515</v>
      </c>
      <c r="O593" t="s">
        <v>74</v>
      </c>
      <c r="P593" t="s">
        <v>74</v>
      </c>
      <c r="Q593" t="s">
        <v>74</v>
      </c>
      <c r="R593" t="s">
        <v>74</v>
      </c>
      <c r="S593" t="s">
        <v>74</v>
      </c>
      <c r="T593" t="s">
        <v>3252</v>
      </c>
      <c r="U593" t="s">
        <v>3253</v>
      </c>
      <c r="V593" t="s">
        <v>3254</v>
      </c>
      <c r="W593" t="s">
        <v>3255</v>
      </c>
      <c r="X593" t="s">
        <v>3256</v>
      </c>
      <c r="Y593" t="s">
        <v>3257</v>
      </c>
      <c r="Z593" t="s">
        <v>3258</v>
      </c>
      <c r="AA593" t="s">
        <v>74</v>
      </c>
      <c r="AB593" t="s">
        <v>3259</v>
      </c>
      <c r="AC593" t="s">
        <v>74</v>
      </c>
      <c r="AD593" t="s">
        <v>74</v>
      </c>
      <c r="AE593" t="s">
        <v>74</v>
      </c>
      <c r="AF593" t="s">
        <v>74</v>
      </c>
      <c r="AG593">
        <v>112</v>
      </c>
      <c r="AH593">
        <v>2</v>
      </c>
      <c r="AI593">
        <v>2</v>
      </c>
      <c r="AJ593">
        <v>10</v>
      </c>
      <c r="AK593">
        <v>14</v>
      </c>
      <c r="AL593" t="s">
        <v>74</v>
      </c>
      <c r="AM593" t="s">
        <v>74</v>
      </c>
      <c r="AN593" t="s">
        <v>74</v>
      </c>
      <c r="AO593" t="s">
        <v>3260</v>
      </c>
      <c r="AP593" t="s">
        <v>3261</v>
      </c>
      <c r="AQ593" t="s">
        <v>74</v>
      </c>
      <c r="AR593" t="s">
        <v>74</v>
      </c>
      <c r="AS593" t="s">
        <v>74</v>
      </c>
      <c r="AT593" t="s">
        <v>74</v>
      </c>
      <c r="AU593" t="s">
        <v>74</v>
      </c>
      <c r="AV593" t="s">
        <v>74</v>
      </c>
      <c r="AW593" t="s">
        <v>74</v>
      </c>
      <c r="AX593" t="s">
        <v>74</v>
      </c>
      <c r="AY593" t="s">
        <v>74</v>
      </c>
      <c r="AZ593" t="s">
        <v>74</v>
      </c>
      <c r="BA593" t="s">
        <v>74</v>
      </c>
      <c r="BB593" t="s">
        <v>74</v>
      </c>
      <c r="BC593" t="s">
        <v>74</v>
      </c>
      <c r="BD593" t="s">
        <v>74</v>
      </c>
      <c r="BE593" t="s">
        <v>3262</v>
      </c>
      <c r="BF593" t="str">
        <f>HYPERLINK("http://dx.doi.org/10.1080/15592294.2021.1994189","http://dx.doi.org/10.1080/15592294.2021.1994189")</f>
        <v>http://dx.doi.org/10.1080/15592294.2021.1994189</v>
      </c>
      <c r="BG593" t="s">
        <v>74</v>
      </c>
      <c r="BH593" t="s">
        <v>820</v>
      </c>
      <c r="BI593" t="s">
        <v>74</v>
      </c>
      <c r="BJ593" t="s">
        <v>3263</v>
      </c>
      <c r="BK593" t="s">
        <v>112</v>
      </c>
      <c r="BL593" t="s">
        <v>3263</v>
      </c>
      <c r="BM593" t="s">
        <v>74</v>
      </c>
      <c r="BN593">
        <v>34696694</v>
      </c>
      <c r="BO593" t="s">
        <v>74</v>
      </c>
      <c r="BP593" t="s">
        <v>74</v>
      </c>
      <c r="BQ593" t="s">
        <v>74</v>
      </c>
      <c r="BR593" t="s">
        <v>93</v>
      </c>
      <c r="BS593" t="s">
        <v>3264</v>
      </c>
      <c r="BT593" t="str">
        <f>HYPERLINK("https%3A%2F%2Fwww.webofscience.com%2Fwos%2Fwoscc%2Ffull-record%2FWOS:000713054200001","View Full Record in Web of Science")</f>
        <v>View Full Record in Web of Science</v>
      </c>
    </row>
    <row r="594" spans="1:72" x14ac:dyDescent="0.15">
      <c r="A594" t="s">
        <v>72</v>
      </c>
      <c r="B594" t="s">
        <v>3386</v>
      </c>
      <c r="C594" t="s">
        <v>74</v>
      </c>
      <c r="D594" t="s">
        <v>74</v>
      </c>
      <c r="E594" t="s">
        <v>74</v>
      </c>
      <c r="F594" t="s">
        <v>3387</v>
      </c>
      <c r="G594" t="s">
        <v>74</v>
      </c>
      <c r="H594" t="s">
        <v>74</v>
      </c>
      <c r="I594" t="s">
        <v>3388</v>
      </c>
      <c r="J594" t="s">
        <v>3389</v>
      </c>
      <c r="K594" t="s">
        <v>74</v>
      </c>
      <c r="L594" t="s">
        <v>74</v>
      </c>
      <c r="M594" t="s">
        <v>74</v>
      </c>
      <c r="N594" t="s">
        <v>78</v>
      </c>
      <c r="O594" t="s">
        <v>74</v>
      </c>
      <c r="P594" t="s">
        <v>74</v>
      </c>
      <c r="Q594" t="s">
        <v>74</v>
      </c>
      <c r="R594" t="s">
        <v>74</v>
      </c>
      <c r="S594" t="s">
        <v>74</v>
      </c>
      <c r="T594" t="s">
        <v>74</v>
      </c>
      <c r="U594" t="s">
        <v>3390</v>
      </c>
      <c r="V594" t="s">
        <v>3391</v>
      </c>
      <c r="W594" t="s">
        <v>3392</v>
      </c>
      <c r="X594" t="s">
        <v>3393</v>
      </c>
      <c r="Y594" t="s">
        <v>3394</v>
      </c>
      <c r="Z594" t="s">
        <v>3395</v>
      </c>
      <c r="AA594" t="s">
        <v>3396</v>
      </c>
      <c r="AB594" t="s">
        <v>74</v>
      </c>
      <c r="AC594" t="s">
        <v>74</v>
      </c>
      <c r="AD594" t="s">
        <v>74</v>
      </c>
      <c r="AE594" t="s">
        <v>74</v>
      </c>
      <c r="AF594" t="s">
        <v>74</v>
      </c>
      <c r="AG594">
        <v>43</v>
      </c>
      <c r="AH594">
        <v>2</v>
      </c>
      <c r="AI594">
        <v>2</v>
      </c>
      <c r="AJ594">
        <v>0</v>
      </c>
      <c r="AK594">
        <v>3</v>
      </c>
      <c r="AL594" t="s">
        <v>74</v>
      </c>
      <c r="AM594" t="s">
        <v>74</v>
      </c>
      <c r="AN594" t="s">
        <v>74</v>
      </c>
      <c r="AO594" t="s">
        <v>3397</v>
      </c>
      <c r="AP594" t="s">
        <v>3398</v>
      </c>
      <c r="AQ594" t="s">
        <v>74</v>
      </c>
      <c r="AR594" t="s">
        <v>74</v>
      </c>
      <c r="AS594" t="s">
        <v>74</v>
      </c>
      <c r="AT594" t="s">
        <v>74</v>
      </c>
      <c r="AU594">
        <v>2019</v>
      </c>
      <c r="AV594">
        <v>2019</v>
      </c>
      <c r="AW594" t="s">
        <v>74</v>
      </c>
      <c r="AX594" t="s">
        <v>74</v>
      </c>
      <c r="AY594" t="s">
        <v>74</v>
      </c>
      <c r="AZ594" t="s">
        <v>74</v>
      </c>
      <c r="BA594" t="s">
        <v>74</v>
      </c>
      <c r="BB594" t="s">
        <v>74</v>
      </c>
      <c r="BC594" t="s">
        <v>74</v>
      </c>
      <c r="BD594">
        <v>7246479</v>
      </c>
      <c r="BE594" t="s">
        <v>3399</v>
      </c>
      <c r="BF594" t="str">
        <f>HYPERLINK("http://dx.doi.org/10.1155/2019/7246479","http://dx.doi.org/10.1155/2019/7246479")</f>
        <v>http://dx.doi.org/10.1155/2019/7246479</v>
      </c>
      <c r="BG594" t="s">
        <v>74</v>
      </c>
      <c r="BH594" t="s">
        <v>74</v>
      </c>
      <c r="BI594" t="s">
        <v>74</v>
      </c>
      <c r="BJ594" t="s">
        <v>3400</v>
      </c>
      <c r="BK594" t="s">
        <v>112</v>
      </c>
      <c r="BL594" t="s">
        <v>419</v>
      </c>
      <c r="BM594" t="s">
        <v>74</v>
      </c>
      <c r="BN594">
        <v>30881463</v>
      </c>
      <c r="BO594" t="s">
        <v>74</v>
      </c>
      <c r="BP594" t="s">
        <v>74</v>
      </c>
      <c r="BQ594" t="s">
        <v>74</v>
      </c>
      <c r="BR594" t="s">
        <v>93</v>
      </c>
      <c r="BS594" t="s">
        <v>3401</v>
      </c>
      <c r="BT594" t="str">
        <f>HYPERLINK("https%3A%2F%2Fwww.webofscience.com%2Fwos%2Fwoscc%2Ffull-record%2FWOS:000459102500001","View Full Record in Web of Science")</f>
        <v>View Full Record in Web of Science</v>
      </c>
    </row>
    <row r="595" spans="1:72" x14ac:dyDescent="0.15">
      <c r="A595" t="s">
        <v>72</v>
      </c>
      <c r="B595" t="s">
        <v>3550</v>
      </c>
      <c r="C595" t="s">
        <v>74</v>
      </c>
      <c r="D595" t="s">
        <v>74</v>
      </c>
      <c r="E595" t="s">
        <v>74</v>
      </c>
      <c r="F595" t="s">
        <v>3551</v>
      </c>
      <c r="G595" t="s">
        <v>74</v>
      </c>
      <c r="H595" t="s">
        <v>74</v>
      </c>
      <c r="I595" t="s">
        <v>3552</v>
      </c>
      <c r="J595" t="s">
        <v>3553</v>
      </c>
      <c r="K595" t="s">
        <v>74</v>
      </c>
      <c r="L595" t="s">
        <v>74</v>
      </c>
      <c r="M595" t="s">
        <v>74</v>
      </c>
      <c r="N595" t="s">
        <v>78</v>
      </c>
      <c r="O595" t="s">
        <v>74</v>
      </c>
      <c r="P595" t="s">
        <v>74</v>
      </c>
      <c r="Q595" t="s">
        <v>74</v>
      </c>
      <c r="R595" t="s">
        <v>74</v>
      </c>
      <c r="S595" t="s">
        <v>74</v>
      </c>
      <c r="T595" t="s">
        <v>3554</v>
      </c>
      <c r="U595" t="s">
        <v>3555</v>
      </c>
      <c r="V595" t="s">
        <v>3556</v>
      </c>
      <c r="W595" t="s">
        <v>3557</v>
      </c>
      <c r="X595" t="s">
        <v>3558</v>
      </c>
      <c r="Y595" t="s">
        <v>3559</v>
      </c>
      <c r="Z595" t="s">
        <v>3560</v>
      </c>
      <c r="AA595" t="s">
        <v>3561</v>
      </c>
      <c r="AB595" t="s">
        <v>74</v>
      </c>
      <c r="AC595" t="s">
        <v>74</v>
      </c>
      <c r="AD595" t="s">
        <v>74</v>
      </c>
      <c r="AE595" t="s">
        <v>74</v>
      </c>
      <c r="AF595" t="s">
        <v>74</v>
      </c>
      <c r="AG595">
        <v>40</v>
      </c>
      <c r="AH595">
        <v>2</v>
      </c>
      <c r="AI595">
        <v>2</v>
      </c>
      <c r="AJ595">
        <v>1</v>
      </c>
      <c r="AK595">
        <v>15</v>
      </c>
      <c r="AL595" t="s">
        <v>74</v>
      </c>
      <c r="AM595" t="s">
        <v>74</v>
      </c>
      <c r="AN595" t="s">
        <v>74</v>
      </c>
      <c r="AO595" t="s">
        <v>3562</v>
      </c>
      <c r="AP595" t="s">
        <v>3563</v>
      </c>
      <c r="AQ595" t="s">
        <v>74</v>
      </c>
      <c r="AR595" t="s">
        <v>74</v>
      </c>
      <c r="AS595" t="s">
        <v>74</v>
      </c>
      <c r="AT595" t="s">
        <v>659</v>
      </c>
      <c r="AU595">
        <v>2020</v>
      </c>
      <c r="AV595">
        <v>22</v>
      </c>
      <c r="AW595">
        <v>3</v>
      </c>
      <c r="AX595" t="s">
        <v>74</v>
      </c>
      <c r="AY595" t="s">
        <v>74</v>
      </c>
      <c r="AZ595" t="s">
        <v>74</v>
      </c>
      <c r="BA595" t="s">
        <v>74</v>
      </c>
      <c r="BB595">
        <v>2528</v>
      </c>
      <c r="BC595">
        <v>2536</v>
      </c>
      <c r="BD595" t="s">
        <v>74</v>
      </c>
      <c r="BE595" t="s">
        <v>3564</v>
      </c>
      <c r="BF595" t="str">
        <f>HYPERLINK("http://dx.doi.org/10.3892/mmr.2020.11332","http://dx.doi.org/10.3892/mmr.2020.11332")</f>
        <v>http://dx.doi.org/10.3892/mmr.2020.11332</v>
      </c>
      <c r="BG595" t="s">
        <v>74</v>
      </c>
      <c r="BH595" t="s">
        <v>74</v>
      </c>
      <c r="BI595" t="s">
        <v>74</v>
      </c>
      <c r="BJ595" t="s">
        <v>3565</v>
      </c>
      <c r="BK595" t="s">
        <v>112</v>
      </c>
      <c r="BL595" t="s">
        <v>3566</v>
      </c>
      <c r="BM595" t="s">
        <v>74</v>
      </c>
      <c r="BN595">
        <v>32705286</v>
      </c>
      <c r="BO595" t="s">
        <v>74</v>
      </c>
      <c r="BP595" t="s">
        <v>74</v>
      </c>
      <c r="BQ595" t="s">
        <v>74</v>
      </c>
      <c r="BR595" t="s">
        <v>93</v>
      </c>
      <c r="BS595" t="s">
        <v>3567</v>
      </c>
      <c r="BT595" t="str">
        <f>HYPERLINK("https%3A%2F%2Fwww.webofscience.com%2Fwos%2Fwoscc%2Ffull-record%2FWOS:000563936800089","View Full Record in Web of Science")</f>
        <v>View Full Record in Web of Science</v>
      </c>
    </row>
    <row r="596" spans="1:72" x14ac:dyDescent="0.15">
      <c r="A596" t="s">
        <v>72</v>
      </c>
      <c r="B596" t="s">
        <v>3645</v>
      </c>
      <c r="C596" t="s">
        <v>74</v>
      </c>
      <c r="D596" t="s">
        <v>74</v>
      </c>
      <c r="E596" t="s">
        <v>74</v>
      </c>
      <c r="F596" t="s">
        <v>3646</v>
      </c>
      <c r="G596" t="s">
        <v>74</v>
      </c>
      <c r="H596" t="s">
        <v>74</v>
      </c>
      <c r="I596" t="s">
        <v>3647</v>
      </c>
      <c r="J596" t="s">
        <v>3648</v>
      </c>
      <c r="K596" t="s">
        <v>74</v>
      </c>
      <c r="L596" t="s">
        <v>74</v>
      </c>
      <c r="M596" t="s">
        <v>74</v>
      </c>
      <c r="N596" t="s">
        <v>78</v>
      </c>
      <c r="O596" t="s">
        <v>74</v>
      </c>
      <c r="P596" t="s">
        <v>74</v>
      </c>
      <c r="Q596" t="s">
        <v>74</v>
      </c>
      <c r="R596" t="s">
        <v>74</v>
      </c>
      <c r="S596" t="s">
        <v>74</v>
      </c>
      <c r="T596" t="s">
        <v>3649</v>
      </c>
      <c r="U596" t="s">
        <v>3650</v>
      </c>
      <c r="V596" t="s">
        <v>3651</v>
      </c>
      <c r="W596" t="s">
        <v>3652</v>
      </c>
      <c r="X596" t="s">
        <v>3653</v>
      </c>
      <c r="Y596" t="s">
        <v>3654</v>
      </c>
      <c r="Z596" t="s">
        <v>3655</v>
      </c>
      <c r="AA596" t="s">
        <v>3656</v>
      </c>
      <c r="AB596" t="s">
        <v>3657</v>
      </c>
      <c r="AC596" t="s">
        <v>74</v>
      </c>
      <c r="AD596" t="s">
        <v>74</v>
      </c>
      <c r="AE596" t="s">
        <v>74</v>
      </c>
      <c r="AF596" t="s">
        <v>74</v>
      </c>
      <c r="AG596">
        <v>57</v>
      </c>
      <c r="AH596">
        <v>2</v>
      </c>
      <c r="AI596">
        <v>2</v>
      </c>
      <c r="AJ596">
        <v>0</v>
      </c>
      <c r="AK596">
        <v>1</v>
      </c>
      <c r="AL596" t="s">
        <v>74</v>
      </c>
      <c r="AM596" t="s">
        <v>74</v>
      </c>
      <c r="AN596" t="s">
        <v>74</v>
      </c>
      <c r="AO596" t="s">
        <v>3658</v>
      </c>
      <c r="AP596" t="s">
        <v>3659</v>
      </c>
      <c r="AQ596" t="s">
        <v>74</v>
      </c>
      <c r="AR596" t="s">
        <v>74</v>
      </c>
      <c r="AS596" t="s">
        <v>74</v>
      </c>
      <c r="AT596" t="s">
        <v>3660</v>
      </c>
      <c r="AU596">
        <v>2019</v>
      </c>
      <c r="AV596">
        <v>43</v>
      </c>
      <c r="AW596">
        <v>1</v>
      </c>
      <c r="AX596" t="s">
        <v>74</v>
      </c>
      <c r="AY596" t="s">
        <v>74</v>
      </c>
      <c r="AZ596" t="s">
        <v>74</v>
      </c>
      <c r="BA596" t="s">
        <v>74</v>
      </c>
      <c r="BB596">
        <v>56</v>
      </c>
      <c r="BC596">
        <v>65</v>
      </c>
      <c r="BD596" t="s">
        <v>74</v>
      </c>
      <c r="BE596" t="s">
        <v>3661</v>
      </c>
      <c r="BF596" t="str">
        <f>HYPERLINK("http://dx.doi.org/10.1080/01913123.2019.1575499","http://dx.doi.org/10.1080/01913123.2019.1575499")</f>
        <v>http://dx.doi.org/10.1080/01913123.2019.1575499</v>
      </c>
      <c r="BG596" t="s">
        <v>74</v>
      </c>
      <c r="BH596" t="s">
        <v>74</v>
      </c>
      <c r="BI596" t="s">
        <v>74</v>
      </c>
      <c r="BJ596" t="s">
        <v>3662</v>
      </c>
      <c r="BK596" t="s">
        <v>112</v>
      </c>
      <c r="BL596" t="s">
        <v>3662</v>
      </c>
      <c r="BM596" t="s">
        <v>74</v>
      </c>
      <c r="BN596">
        <v>30758240</v>
      </c>
      <c r="BO596" t="s">
        <v>74</v>
      </c>
      <c r="BP596" t="s">
        <v>74</v>
      </c>
      <c r="BQ596" t="s">
        <v>74</v>
      </c>
      <c r="BR596" t="s">
        <v>93</v>
      </c>
      <c r="BS596" t="s">
        <v>3663</v>
      </c>
      <c r="BT596" t="str">
        <f>HYPERLINK("https%3A%2F%2Fwww.webofscience.com%2Fwos%2Fwoscc%2Ffull-record%2FWOS:000468408400005","View Full Record in Web of Science")</f>
        <v>View Full Record in Web of Science</v>
      </c>
    </row>
    <row r="597" spans="1:72" x14ac:dyDescent="0.15">
      <c r="A597" t="s">
        <v>72</v>
      </c>
      <c r="B597" t="s">
        <v>3700</v>
      </c>
      <c r="C597" t="s">
        <v>74</v>
      </c>
      <c r="D597" t="s">
        <v>74</v>
      </c>
      <c r="E597" t="s">
        <v>74</v>
      </c>
      <c r="F597" t="s">
        <v>3701</v>
      </c>
      <c r="G597" t="s">
        <v>74</v>
      </c>
      <c r="H597" t="s">
        <v>74</v>
      </c>
      <c r="I597" t="s">
        <v>3702</v>
      </c>
      <c r="J597" t="s">
        <v>2030</v>
      </c>
      <c r="K597" t="s">
        <v>74</v>
      </c>
      <c r="L597" t="s">
        <v>74</v>
      </c>
      <c r="M597" t="s">
        <v>74</v>
      </c>
      <c r="N597" t="s">
        <v>78</v>
      </c>
      <c r="O597" t="s">
        <v>74</v>
      </c>
      <c r="P597" t="s">
        <v>74</v>
      </c>
      <c r="Q597" t="s">
        <v>74</v>
      </c>
      <c r="R597" t="s">
        <v>74</v>
      </c>
      <c r="S597" t="s">
        <v>74</v>
      </c>
      <c r="T597" t="s">
        <v>3703</v>
      </c>
      <c r="U597" t="s">
        <v>3704</v>
      </c>
      <c r="V597" t="s">
        <v>3705</v>
      </c>
      <c r="W597" t="s">
        <v>3706</v>
      </c>
      <c r="X597" t="s">
        <v>3707</v>
      </c>
      <c r="Y597" t="s">
        <v>3708</v>
      </c>
      <c r="Z597" t="s">
        <v>395</v>
      </c>
      <c r="AA597" t="s">
        <v>3709</v>
      </c>
      <c r="AB597" t="s">
        <v>3710</v>
      </c>
      <c r="AC597" t="s">
        <v>74</v>
      </c>
      <c r="AD597" t="s">
        <v>74</v>
      </c>
      <c r="AE597" t="s">
        <v>74</v>
      </c>
      <c r="AF597" t="s">
        <v>74</v>
      </c>
      <c r="AG597">
        <v>52</v>
      </c>
      <c r="AH597">
        <v>2</v>
      </c>
      <c r="AI597">
        <v>2</v>
      </c>
      <c r="AJ597">
        <v>2</v>
      </c>
      <c r="AK597">
        <v>5</v>
      </c>
      <c r="AL597" t="s">
        <v>74</v>
      </c>
      <c r="AM597" t="s">
        <v>74</v>
      </c>
      <c r="AN597" t="s">
        <v>74</v>
      </c>
      <c r="AO597" t="s">
        <v>2039</v>
      </c>
      <c r="AP597" t="s">
        <v>2040</v>
      </c>
      <c r="AQ597" t="s">
        <v>74</v>
      </c>
      <c r="AR597" t="s">
        <v>74</v>
      </c>
      <c r="AS597" t="s">
        <v>74</v>
      </c>
      <c r="AT597" t="s">
        <v>171</v>
      </c>
      <c r="AU597">
        <v>2020</v>
      </c>
      <c r="AV597">
        <v>133</v>
      </c>
      <c r="AW597" t="s">
        <v>74</v>
      </c>
      <c r="AX597" t="s">
        <v>74</v>
      </c>
      <c r="AY597" t="s">
        <v>74</v>
      </c>
      <c r="AZ597" t="s">
        <v>74</v>
      </c>
      <c r="BA597" t="s">
        <v>74</v>
      </c>
      <c r="BB597" t="s">
        <v>74</v>
      </c>
      <c r="BC597" t="s">
        <v>74</v>
      </c>
      <c r="BD597">
        <v>104687</v>
      </c>
      <c r="BE597" t="s">
        <v>3711</v>
      </c>
      <c r="BF597" t="str">
        <f>HYPERLINK("http://dx.doi.org/10.1016/j.jcv.2020.104687","http://dx.doi.org/10.1016/j.jcv.2020.104687")</f>
        <v>http://dx.doi.org/10.1016/j.jcv.2020.104687</v>
      </c>
      <c r="BG597" t="s">
        <v>74</v>
      </c>
      <c r="BH597" t="s">
        <v>74</v>
      </c>
      <c r="BI597" t="s">
        <v>74</v>
      </c>
      <c r="BJ597" t="s">
        <v>401</v>
      </c>
      <c r="BK597" t="s">
        <v>112</v>
      </c>
      <c r="BL597" t="s">
        <v>401</v>
      </c>
      <c r="BM597" t="s">
        <v>74</v>
      </c>
      <c r="BN597">
        <v>33176237</v>
      </c>
      <c r="BO597" t="s">
        <v>74</v>
      </c>
      <c r="BP597" t="s">
        <v>74</v>
      </c>
      <c r="BQ597" t="s">
        <v>74</v>
      </c>
      <c r="BR597" t="s">
        <v>93</v>
      </c>
      <c r="BS597" t="s">
        <v>3712</v>
      </c>
      <c r="BT597" t="str">
        <f>HYPERLINK("https%3A%2F%2Fwww.webofscience.com%2Fwos%2Fwoscc%2Ffull-record%2FWOS:000598717200016","View Full Record in Web of Science")</f>
        <v>View Full Record in Web of Science</v>
      </c>
    </row>
    <row r="598" spans="1:72" x14ac:dyDescent="0.15">
      <c r="A598" t="s">
        <v>72</v>
      </c>
      <c r="B598" t="s">
        <v>4037</v>
      </c>
      <c r="C598" t="s">
        <v>74</v>
      </c>
      <c r="D598" t="s">
        <v>74</v>
      </c>
      <c r="E598" t="s">
        <v>74</v>
      </c>
      <c r="F598" t="s">
        <v>4038</v>
      </c>
      <c r="G598" t="s">
        <v>74</v>
      </c>
      <c r="H598" t="s">
        <v>74</v>
      </c>
      <c r="I598" t="s">
        <v>4039</v>
      </c>
      <c r="J598" t="s">
        <v>1576</v>
      </c>
      <c r="K598" t="s">
        <v>74</v>
      </c>
      <c r="L598" t="s">
        <v>74</v>
      </c>
      <c r="M598" t="s">
        <v>74</v>
      </c>
      <c r="N598" t="s">
        <v>78</v>
      </c>
      <c r="O598" t="s">
        <v>74</v>
      </c>
      <c r="P598" t="s">
        <v>74</v>
      </c>
      <c r="Q598" t="s">
        <v>74</v>
      </c>
      <c r="R598" t="s">
        <v>74</v>
      </c>
      <c r="S598" t="s">
        <v>74</v>
      </c>
      <c r="T598" t="s">
        <v>4040</v>
      </c>
      <c r="U598" t="s">
        <v>4041</v>
      </c>
      <c r="V598" t="s">
        <v>4042</v>
      </c>
      <c r="W598" t="s">
        <v>4043</v>
      </c>
      <c r="X598" t="s">
        <v>4044</v>
      </c>
      <c r="Y598" t="s">
        <v>4045</v>
      </c>
      <c r="Z598" t="s">
        <v>4046</v>
      </c>
      <c r="AA598" t="s">
        <v>4047</v>
      </c>
      <c r="AB598" t="s">
        <v>4048</v>
      </c>
      <c r="AC598" t="s">
        <v>74</v>
      </c>
      <c r="AD598" t="s">
        <v>74</v>
      </c>
      <c r="AE598" t="s">
        <v>74</v>
      </c>
      <c r="AF598" t="s">
        <v>74</v>
      </c>
      <c r="AG598">
        <v>71</v>
      </c>
      <c r="AH598">
        <v>2</v>
      </c>
      <c r="AI598">
        <v>2</v>
      </c>
      <c r="AJ598">
        <v>3</v>
      </c>
      <c r="AK598">
        <v>3</v>
      </c>
      <c r="AL598" t="s">
        <v>74</v>
      </c>
      <c r="AM598" t="s">
        <v>74</v>
      </c>
      <c r="AN598" t="s">
        <v>74</v>
      </c>
      <c r="AO598" t="s">
        <v>74</v>
      </c>
      <c r="AP598" t="s">
        <v>1586</v>
      </c>
      <c r="AQ598" t="s">
        <v>74</v>
      </c>
      <c r="AR598" t="s">
        <v>74</v>
      </c>
      <c r="AS598" t="s">
        <v>74</v>
      </c>
      <c r="AT598" t="s">
        <v>129</v>
      </c>
      <c r="AU598">
        <v>2022</v>
      </c>
      <c r="AV598">
        <v>10</v>
      </c>
      <c r="AW598">
        <v>4</v>
      </c>
      <c r="AX598" t="s">
        <v>74</v>
      </c>
      <c r="AY598" t="s">
        <v>74</v>
      </c>
      <c r="AZ598" t="s">
        <v>74</v>
      </c>
      <c r="BA598" t="s">
        <v>74</v>
      </c>
      <c r="BB598" t="s">
        <v>74</v>
      </c>
      <c r="BC598" t="s">
        <v>74</v>
      </c>
      <c r="BD598">
        <v>783</v>
      </c>
      <c r="BE598" t="s">
        <v>4049</v>
      </c>
      <c r="BF598" t="str">
        <f>HYPERLINK("http://dx.doi.org/10.3390/biomedicines10040783","http://dx.doi.org/10.3390/biomedicines10040783")</f>
        <v>http://dx.doi.org/10.3390/biomedicines10040783</v>
      </c>
      <c r="BG598" t="s">
        <v>74</v>
      </c>
      <c r="BH598" t="s">
        <v>74</v>
      </c>
      <c r="BI598" t="s">
        <v>74</v>
      </c>
      <c r="BJ598" t="s">
        <v>1588</v>
      </c>
      <c r="BK598" t="s">
        <v>112</v>
      </c>
      <c r="BL598" t="s">
        <v>1589</v>
      </c>
      <c r="BM598" t="s">
        <v>74</v>
      </c>
      <c r="BN598">
        <v>35453532</v>
      </c>
      <c r="BO598" t="s">
        <v>74</v>
      </c>
      <c r="BP598" t="s">
        <v>74</v>
      </c>
      <c r="BQ598" t="s">
        <v>74</v>
      </c>
      <c r="BR598" t="s">
        <v>93</v>
      </c>
      <c r="BS598" t="s">
        <v>4050</v>
      </c>
      <c r="BT598" t="str">
        <f>HYPERLINK("https%3A%2F%2Fwww.webofscience.com%2Fwos%2Fwoscc%2Ffull-record%2FWOS:000785177900001","View Full Record in Web of Science")</f>
        <v>View Full Record in Web of Science</v>
      </c>
    </row>
    <row r="599" spans="1:72" x14ac:dyDescent="0.15">
      <c r="A599" t="s">
        <v>72</v>
      </c>
      <c r="B599" t="s">
        <v>4505</v>
      </c>
      <c r="C599" t="s">
        <v>74</v>
      </c>
      <c r="D599" t="s">
        <v>74</v>
      </c>
      <c r="E599" t="s">
        <v>74</v>
      </c>
      <c r="F599" t="s">
        <v>4506</v>
      </c>
      <c r="G599" t="s">
        <v>74</v>
      </c>
      <c r="H599" t="s">
        <v>74</v>
      </c>
      <c r="I599" t="s">
        <v>4507</v>
      </c>
      <c r="J599" t="s">
        <v>151</v>
      </c>
      <c r="K599" t="s">
        <v>74</v>
      </c>
      <c r="L599" t="s">
        <v>74</v>
      </c>
      <c r="M599" t="s">
        <v>74</v>
      </c>
      <c r="N599" t="s">
        <v>78</v>
      </c>
      <c r="O599" t="s">
        <v>74</v>
      </c>
      <c r="P599" t="s">
        <v>74</v>
      </c>
      <c r="Q599" t="s">
        <v>74</v>
      </c>
      <c r="R599" t="s">
        <v>74</v>
      </c>
      <c r="S599" t="s">
        <v>74</v>
      </c>
      <c r="T599" t="s">
        <v>4508</v>
      </c>
      <c r="U599" t="s">
        <v>4509</v>
      </c>
      <c r="V599" t="s">
        <v>4510</v>
      </c>
      <c r="W599" t="s">
        <v>4511</v>
      </c>
      <c r="X599" t="s">
        <v>4512</v>
      </c>
      <c r="Y599" t="s">
        <v>4513</v>
      </c>
      <c r="Z599" t="s">
        <v>4514</v>
      </c>
      <c r="AA599" t="s">
        <v>4515</v>
      </c>
      <c r="AB599" t="s">
        <v>4516</v>
      </c>
      <c r="AC599" t="s">
        <v>74</v>
      </c>
      <c r="AD599" t="s">
        <v>74</v>
      </c>
      <c r="AE599" t="s">
        <v>74</v>
      </c>
      <c r="AF599" t="s">
        <v>74</v>
      </c>
      <c r="AG599">
        <v>44</v>
      </c>
      <c r="AH599">
        <v>2</v>
      </c>
      <c r="AI599">
        <v>2</v>
      </c>
      <c r="AJ599">
        <v>1</v>
      </c>
      <c r="AK599">
        <v>4</v>
      </c>
      <c r="AL599" t="s">
        <v>74</v>
      </c>
      <c r="AM599" t="s">
        <v>74</v>
      </c>
      <c r="AN599" t="s">
        <v>74</v>
      </c>
      <c r="AO599" t="s">
        <v>74</v>
      </c>
      <c r="AP599" t="s">
        <v>160</v>
      </c>
      <c r="AQ599" t="s">
        <v>74</v>
      </c>
      <c r="AR599" t="s">
        <v>74</v>
      </c>
      <c r="AS599" t="s">
        <v>74</v>
      </c>
      <c r="AT599" t="s">
        <v>236</v>
      </c>
      <c r="AU599">
        <v>2021</v>
      </c>
      <c r="AV599">
        <v>13</v>
      </c>
      <c r="AW599">
        <v>21</v>
      </c>
      <c r="AX599" t="s">
        <v>74</v>
      </c>
      <c r="AY599" t="s">
        <v>74</v>
      </c>
      <c r="AZ599" t="s">
        <v>74</v>
      </c>
      <c r="BA599" t="s">
        <v>74</v>
      </c>
      <c r="BB599" t="s">
        <v>74</v>
      </c>
      <c r="BC599" t="s">
        <v>74</v>
      </c>
      <c r="BD599">
        <v>5369</v>
      </c>
      <c r="BE599" t="s">
        <v>4517</v>
      </c>
      <c r="BF599" t="str">
        <f>HYPERLINK("http://dx.doi.org/10.3390/cancers13215369","http://dx.doi.org/10.3390/cancers13215369")</f>
        <v>http://dx.doi.org/10.3390/cancers13215369</v>
      </c>
      <c r="BG599" t="s">
        <v>74</v>
      </c>
      <c r="BH599" t="s">
        <v>74</v>
      </c>
      <c r="BI599" t="s">
        <v>74</v>
      </c>
      <c r="BJ599" t="s">
        <v>146</v>
      </c>
      <c r="BK599" t="s">
        <v>112</v>
      </c>
      <c r="BL599" t="s">
        <v>146</v>
      </c>
      <c r="BM599" t="s">
        <v>74</v>
      </c>
      <c r="BN599">
        <v>34771533</v>
      </c>
      <c r="BO599" t="s">
        <v>74</v>
      </c>
      <c r="BP599" t="s">
        <v>74</v>
      </c>
      <c r="BQ599" t="s">
        <v>74</v>
      </c>
      <c r="BR599" t="s">
        <v>93</v>
      </c>
      <c r="BS599" t="s">
        <v>4518</v>
      </c>
      <c r="BT599" t="str">
        <f>HYPERLINK("https%3A%2F%2Fwww.webofscience.com%2Fwos%2Fwoscc%2Ffull-record%2FWOS:000718496000001","View Full Record in Web of Science")</f>
        <v>View Full Record in Web of Science</v>
      </c>
    </row>
    <row r="600" spans="1:72" x14ac:dyDescent="0.15">
      <c r="A600" t="s">
        <v>72</v>
      </c>
      <c r="B600" t="s">
        <v>5002</v>
      </c>
      <c r="C600" t="s">
        <v>74</v>
      </c>
      <c r="D600" t="s">
        <v>74</v>
      </c>
      <c r="E600" t="s">
        <v>74</v>
      </c>
      <c r="F600" t="s">
        <v>5003</v>
      </c>
      <c r="G600" t="s">
        <v>74</v>
      </c>
      <c r="H600" t="s">
        <v>74</v>
      </c>
      <c r="I600" t="s">
        <v>5004</v>
      </c>
      <c r="J600" t="s">
        <v>2013</v>
      </c>
      <c r="K600" t="s">
        <v>74</v>
      </c>
      <c r="L600" t="s">
        <v>74</v>
      </c>
      <c r="M600" t="s">
        <v>74</v>
      </c>
      <c r="N600" t="s">
        <v>78</v>
      </c>
      <c r="O600" t="s">
        <v>74</v>
      </c>
      <c r="P600" t="s">
        <v>74</v>
      </c>
      <c r="Q600" t="s">
        <v>74</v>
      </c>
      <c r="R600" t="s">
        <v>74</v>
      </c>
      <c r="S600" t="s">
        <v>74</v>
      </c>
      <c r="T600" t="s">
        <v>74</v>
      </c>
      <c r="U600" t="s">
        <v>5005</v>
      </c>
      <c r="V600" t="s">
        <v>5006</v>
      </c>
      <c r="W600" t="s">
        <v>5007</v>
      </c>
      <c r="X600" t="s">
        <v>2680</v>
      </c>
      <c r="Y600" t="s">
        <v>5008</v>
      </c>
      <c r="Z600" t="s">
        <v>5009</v>
      </c>
      <c r="AA600" t="s">
        <v>5010</v>
      </c>
      <c r="AB600" t="s">
        <v>5011</v>
      </c>
      <c r="AC600" t="s">
        <v>74</v>
      </c>
      <c r="AD600" t="s">
        <v>74</v>
      </c>
      <c r="AE600" t="s">
        <v>74</v>
      </c>
      <c r="AF600" t="s">
        <v>74</v>
      </c>
      <c r="AG600">
        <v>50</v>
      </c>
      <c r="AH600">
        <v>2</v>
      </c>
      <c r="AI600">
        <v>2</v>
      </c>
      <c r="AJ600">
        <v>109</v>
      </c>
      <c r="AK600">
        <v>132</v>
      </c>
      <c r="AL600" t="s">
        <v>74</v>
      </c>
      <c r="AM600" t="s">
        <v>74</v>
      </c>
      <c r="AN600" t="s">
        <v>74</v>
      </c>
      <c r="AO600" t="s">
        <v>2022</v>
      </c>
      <c r="AP600" t="s">
        <v>2023</v>
      </c>
      <c r="AQ600" t="s">
        <v>74</v>
      </c>
      <c r="AR600" t="s">
        <v>74</v>
      </c>
      <c r="AS600" t="s">
        <v>74</v>
      </c>
      <c r="AT600" t="s">
        <v>5012</v>
      </c>
      <c r="AU600">
        <v>2022</v>
      </c>
      <c r="AV600">
        <v>94</v>
      </c>
      <c r="AW600">
        <v>2</v>
      </c>
      <c r="AX600" t="s">
        <v>74</v>
      </c>
      <c r="AY600" t="s">
        <v>74</v>
      </c>
      <c r="AZ600" t="s">
        <v>74</v>
      </c>
      <c r="BA600" t="s">
        <v>74</v>
      </c>
      <c r="BB600">
        <v>1085</v>
      </c>
      <c r="BC600">
        <v>1091</v>
      </c>
      <c r="BD600" t="s">
        <v>74</v>
      </c>
      <c r="BE600" t="s">
        <v>5013</v>
      </c>
      <c r="BF600" t="str">
        <f>HYPERLINK("http://dx.doi.org/10.1021/acs.analchem.1c04122","http://dx.doi.org/10.1021/acs.analchem.1c04122")</f>
        <v>http://dx.doi.org/10.1021/acs.analchem.1c04122</v>
      </c>
      <c r="BG600" t="s">
        <v>74</v>
      </c>
      <c r="BH600" t="s">
        <v>3173</v>
      </c>
      <c r="BI600" t="s">
        <v>74</v>
      </c>
      <c r="BJ600" t="s">
        <v>1196</v>
      </c>
      <c r="BK600" t="s">
        <v>112</v>
      </c>
      <c r="BL600" t="s">
        <v>1197</v>
      </c>
      <c r="BM600" t="s">
        <v>74</v>
      </c>
      <c r="BN600">
        <v>35042294</v>
      </c>
      <c r="BO600" t="s">
        <v>74</v>
      </c>
      <c r="BP600" t="s">
        <v>74</v>
      </c>
      <c r="BQ600" t="s">
        <v>74</v>
      </c>
      <c r="BR600" t="s">
        <v>93</v>
      </c>
      <c r="BS600" t="s">
        <v>5014</v>
      </c>
      <c r="BT600" t="str">
        <f>HYPERLINK("https%3A%2F%2Fwww.webofscience.com%2Fwos%2Fwoscc%2Ffull-record%2FWOS:000741043400001","View Full Record in Web of Science")</f>
        <v>View Full Record in Web of Science</v>
      </c>
    </row>
    <row r="601" spans="1:72" x14ac:dyDescent="0.15">
      <c r="A601" t="s">
        <v>72</v>
      </c>
      <c r="B601" t="s">
        <v>5154</v>
      </c>
      <c r="C601" t="s">
        <v>74</v>
      </c>
      <c r="D601" t="s">
        <v>74</v>
      </c>
      <c r="E601" t="s">
        <v>74</v>
      </c>
      <c r="F601" t="s">
        <v>5155</v>
      </c>
      <c r="G601" t="s">
        <v>74</v>
      </c>
      <c r="H601" t="s">
        <v>74</v>
      </c>
      <c r="I601" t="s">
        <v>5156</v>
      </c>
      <c r="J601" t="s">
        <v>844</v>
      </c>
      <c r="K601" t="s">
        <v>74</v>
      </c>
      <c r="L601" t="s">
        <v>74</v>
      </c>
      <c r="M601" t="s">
        <v>74</v>
      </c>
      <c r="N601" t="s">
        <v>78</v>
      </c>
      <c r="O601" t="s">
        <v>74</v>
      </c>
      <c r="P601" t="s">
        <v>74</v>
      </c>
      <c r="Q601" t="s">
        <v>74</v>
      </c>
      <c r="R601" t="s">
        <v>74</v>
      </c>
      <c r="S601" t="s">
        <v>74</v>
      </c>
      <c r="T601" t="s">
        <v>5157</v>
      </c>
      <c r="U601" t="s">
        <v>5158</v>
      </c>
      <c r="V601" t="s">
        <v>5159</v>
      </c>
      <c r="W601" t="s">
        <v>5160</v>
      </c>
      <c r="X601" t="s">
        <v>5161</v>
      </c>
      <c r="Y601" t="s">
        <v>5162</v>
      </c>
      <c r="Z601" t="s">
        <v>2160</v>
      </c>
      <c r="AA601" t="s">
        <v>74</v>
      </c>
      <c r="AB601" t="s">
        <v>5163</v>
      </c>
      <c r="AC601" t="s">
        <v>74</v>
      </c>
      <c r="AD601" t="s">
        <v>74</v>
      </c>
      <c r="AE601" t="s">
        <v>74</v>
      </c>
      <c r="AF601" t="s">
        <v>74</v>
      </c>
      <c r="AG601">
        <v>37</v>
      </c>
      <c r="AH601">
        <v>2</v>
      </c>
      <c r="AI601">
        <v>2</v>
      </c>
      <c r="AJ601">
        <v>3</v>
      </c>
      <c r="AK601">
        <v>3</v>
      </c>
      <c r="AL601" t="s">
        <v>74</v>
      </c>
      <c r="AM601" t="s">
        <v>74</v>
      </c>
      <c r="AN601" t="s">
        <v>74</v>
      </c>
      <c r="AO601" t="s">
        <v>852</v>
      </c>
      <c r="AP601" t="s">
        <v>74</v>
      </c>
      <c r="AQ601" t="s">
        <v>74</v>
      </c>
      <c r="AR601" t="s">
        <v>74</v>
      </c>
      <c r="AS601" t="s">
        <v>74</v>
      </c>
      <c r="AT601" t="s">
        <v>5164</v>
      </c>
      <c r="AU601">
        <v>2021</v>
      </c>
      <c r="AV601">
        <v>9</v>
      </c>
      <c r="AW601" t="s">
        <v>74</v>
      </c>
      <c r="AX601" t="s">
        <v>74</v>
      </c>
      <c r="AY601" t="s">
        <v>74</v>
      </c>
      <c r="AZ601" t="s">
        <v>74</v>
      </c>
      <c r="BA601" t="s">
        <v>74</v>
      </c>
      <c r="BB601" t="s">
        <v>74</v>
      </c>
      <c r="BC601" t="s">
        <v>74</v>
      </c>
      <c r="BD601">
        <v>724389</v>
      </c>
      <c r="BE601" t="s">
        <v>5165</v>
      </c>
      <c r="BF601" t="str">
        <f>HYPERLINK("http://dx.doi.org/10.3389/fcell.2021.724389","http://dx.doi.org/10.3389/fcell.2021.724389")</f>
        <v>http://dx.doi.org/10.3389/fcell.2021.724389</v>
      </c>
      <c r="BG601" t="s">
        <v>74</v>
      </c>
      <c r="BH601" t="s">
        <v>74</v>
      </c>
      <c r="BI601" t="s">
        <v>74</v>
      </c>
      <c r="BJ601" t="s">
        <v>855</v>
      </c>
      <c r="BK601" t="s">
        <v>112</v>
      </c>
      <c r="BL601" t="s">
        <v>855</v>
      </c>
      <c r="BM601" t="s">
        <v>74</v>
      </c>
      <c r="BN601">
        <v>34692681</v>
      </c>
      <c r="BO601" t="s">
        <v>74</v>
      </c>
      <c r="BP601" t="s">
        <v>74</v>
      </c>
      <c r="BQ601" t="s">
        <v>74</v>
      </c>
      <c r="BR601" t="s">
        <v>93</v>
      </c>
      <c r="BS601" t="s">
        <v>5166</v>
      </c>
      <c r="BT601" t="str">
        <f>HYPERLINK("https%3A%2F%2Fwww.webofscience.com%2Fwos%2Fwoscc%2Ffull-record%2FWOS:000710115500001","View Full Record in Web of Science")</f>
        <v>View Full Record in Web of Science</v>
      </c>
    </row>
    <row r="602" spans="1:72" x14ac:dyDescent="0.15">
      <c r="A602" t="s">
        <v>312</v>
      </c>
      <c r="B602" t="s">
        <v>5368</v>
      </c>
      <c r="C602" t="s">
        <v>74</v>
      </c>
      <c r="D602" t="s">
        <v>5369</v>
      </c>
      <c r="E602" t="s">
        <v>74</v>
      </c>
      <c r="F602" t="s">
        <v>5370</v>
      </c>
      <c r="G602" t="s">
        <v>74</v>
      </c>
      <c r="H602" t="s">
        <v>74</v>
      </c>
      <c r="I602" t="s">
        <v>5371</v>
      </c>
      <c r="J602" t="s">
        <v>5372</v>
      </c>
      <c r="K602" t="s">
        <v>318</v>
      </c>
      <c r="L602" t="s">
        <v>74</v>
      </c>
      <c r="M602" t="s">
        <v>74</v>
      </c>
      <c r="N602" t="s">
        <v>319</v>
      </c>
      <c r="O602" t="s">
        <v>74</v>
      </c>
      <c r="P602" t="s">
        <v>74</v>
      </c>
      <c r="Q602" t="s">
        <v>74</v>
      </c>
      <c r="R602" t="s">
        <v>74</v>
      </c>
      <c r="S602" t="s">
        <v>74</v>
      </c>
      <c r="T602" t="s">
        <v>5373</v>
      </c>
      <c r="U602" t="s">
        <v>5374</v>
      </c>
      <c r="V602" t="s">
        <v>5375</v>
      </c>
      <c r="W602" t="s">
        <v>5376</v>
      </c>
      <c r="X602" t="s">
        <v>74</v>
      </c>
      <c r="Y602" t="s">
        <v>5377</v>
      </c>
      <c r="Z602" t="s">
        <v>74</v>
      </c>
      <c r="AA602" t="s">
        <v>74</v>
      </c>
      <c r="AB602" t="s">
        <v>5378</v>
      </c>
      <c r="AC602" t="s">
        <v>74</v>
      </c>
      <c r="AD602" t="s">
        <v>74</v>
      </c>
      <c r="AE602" t="s">
        <v>74</v>
      </c>
      <c r="AF602" t="s">
        <v>74</v>
      </c>
      <c r="AG602">
        <v>41</v>
      </c>
      <c r="AH602">
        <v>2</v>
      </c>
      <c r="AI602">
        <v>2</v>
      </c>
      <c r="AJ602">
        <v>0</v>
      </c>
      <c r="AK602">
        <v>2</v>
      </c>
      <c r="AL602" t="s">
        <v>74</v>
      </c>
      <c r="AM602" t="s">
        <v>74</v>
      </c>
      <c r="AN602" t="s">
        <v>74</v>
      </c>
      <c r="AO602" t="s">
        <v>328</v>
      </c>
      <c r="AP602" t="s">
        <v>329</v>
      </c>
      <c r="AQ602" t="s">
        <v>5379</v>
      </c>
      <c r="AR602" t="s">
        <v>74</v>
      </c>
      <c r="AS602" t="s">
        <v>74</v>
      </c>
      <c r="AT602" t="s">
        <v>74</v>
      </c>
      <c r="AU602">
        <v>2017</v>
      </c>
      <c r="AV602">
        <v>1537</v>
      </c>
      <c r="AW602" t="s">
        <v>74</v>
      </c>
      <c r="AX602" t="s">
        <v>74</v>
      </c>
      <c r="AY602" t="s">
        <v>74</v>
      </c>
      <c r="AZ602" t="s">
        <v>74</v>
      </c>
      <c r="BA602" t="s">
        <v>74</v>
      </c>
      <c r="BB602">
        <v>3</v>
      </c>
      <c r="BC602">
        <v>15</v>
      </c>
      <c r="BD602" t="s">
        <v>74</v>
      </c>
      <c r="BE602" t="s">
        <v>5380</v>
      </c>
      <c r="BF602" t="str">
        <f>HYPERLINK("http://dx.doi.org/10.1007/978-1-4939-6685-1_1","http://dx.doi.org/10.1007/978-1-4939-6685-1_1")</f>
        <v>http://dx.doi.org/10.1007/978-1-4939-6685-1_1</v>
      </c>
      <c r="BG602" t="s">
        <v>5381</v>
      </c>
      <c r="BH602" t="s">
        <v>74</v>
      </c>
      <c r="BI602" t="s">
        <v>74</v>
      </c>
      <c r="BJ602" t="s">
        <v>5382</v>
      </c>
      <c r="BK602" t="s">
        <v>334</v>
      </c>
      <c r="BL602" t="s">
        <v>5382</v>
      </c>
      <c r="BM602" t="s">
        <v>74</v>
      </c>
      <c r="BN602">
        <v>27924585</v>
      </c>
      <c r="BO602" t="s">
        <v>74</v>
      </c>
      <c r="BP602" t="s">
        <v>74</v>
      </c>
      <c r="BQ602" t="s">
        <v>74</v>
      </c>
      <c r="BR602" t="s">
        <v>93</v>
      </c>
      <c r="BS602" t="s">
        <v>5383</v>
      </c>
      <c r="BT602" t="str">
        <f>HYPERLINK("https%3A%2F%2Fwww.webofscience.com%2Fwos%2Fwoscc%2Ffull-record%2FWOS:000450331200002","View Full Record in Web of Science")</f>
        <v>View Full Record in Web of Science</v>
      </c>
    </row>
    <row r="603" spans="1:72" x14ac:dyDescent="0.15">
      <c r="A603" t="s">
        <v>72</v>
      </c>
      <c r="B603" t="s">
        <v>5907</v>
      </c>
      <c r="C603" t="s">
        <v>74</v>
      </c>
      <c r="D603" t="s">
        <v>74</v>
      </c>
      <c r="E603" t="s">
        <v>74</v>
      </c>
      <c r="F603" t="s">
        <v>5908</v>
      </c>
      <c r="G603" t="s">
        <v>74</v>
      </c>
      <c r="H603" t="s">
        <v>74</v>
      </c>
      <c r="I603" t="s">
        <v>5909</v>
      </c>
      <c r="J603" t="s">
        <v>3160</v>
      </c>
      <c r="K603" t="s">
        <v>74</v>
      </c>
      <c r="L603" t="s">
        <v>74</v>
      </c>
      <c r="M603" t="s">
        <v>74</v>
      </c>
      <c r="N603" t="s">
        <v>78</v>
      </c>
      <c r="O603" t="s">
        <v>74</v>
      </c>
      <c r="P603" t="s">
        <v>74</v>
      </c>
      <c r="Q603" t="s">
        <v>74</v>
      </c>
      <c r="R603" t="s">
        <v>74</v>
      </c>
      <c r="S603" t="s">
        <v>74</v>
      </c>
      <c r="T603" t="s">
        <v>5910</v>
      </c>
      <c r="U603" t="s">
        <v>74</v>
      </c>
      <c r="V603" t="s">
        <v>5911</v>
      </c>
      <c r="W603" t="s">
        <v>5912</v>
      </c>
      <c r="X603" t="s">
        <v>5913</v>
      </c>
      <c r="Y603" t="s">
        <v>5914</v>
      </c>
      <c r="Z603" t="s">
        <v>5915</v>
      </c>
      <c r="AA603" t="s">
        <v>74</v>
      </c>
      <c r="AB603" t="s">
        <v>74</v>
      </c>
      <c r="AC603" t="s">
        <v>74</v>
      </c>
      <c r="AD603" t="s">
        <v>74</v>
      </c>
      <c r="AE603" t="s">
        <v>74</v>
      </c>
      <c r="AF603" t="s">
        <v>74</v>
      </c>
      <c r="AG603">
        <v>68</v>
      </c>
      <c r="AH603">
        <v>2</v>
      </c>
      <c r="AI603">
        <v>2</v>
      </c>
      <c r="AJ603">
        <v>8</v>
      </c>
      <c r="AK603">
        <v>20</v>
      </c>
      <c r="AL603" t="s">
        <v>74</v>
      </c>
      <c r="AM603" t="s">
        <v>74</v>
      </c>
      <c r="AN603" t="s">
        <v>74</v>
      </c>
      <c r="AO603" t="s">
        <v>3170</v>
      </c>
      <c r="AP603" t="s">
        <v>3171</v>
      </c>
      <c r="AQ603" t="s">
        <v>74</v>
      </c>
      <c r="AR603" t="s">
        <v>74</v>
      </c>
      <c r="AS603" t="s">
        <v>74</v>
      </c>
      <c r="AT603" t="s">
        <v>503</v>
      </c>
      <c r="AU603">
        <v>2021</v>
      </c>
      <c r="AV603">
        <v>42</v>
      </c>
      <c r="AW603">
        <v>7</v>
      </c>
      <c r="AX603" t="s">
        <v>74</v>
      </c>
      <c r="AY603" t="s">
        <v>74</v>
      </c>
      <c r="AZ603" t="s">
        <v>74</v>
      </c>
      <c r="BA603" t="s">
        <v>74</v>
      </c>
      <c r="BB603">
        <v>1111</v>
      </c>
      <c r="BC603">
        <v>1123</v>
      </c>
      <c r="BD603" t="s">
        <v>74</v>
      </c>
      <c r="BE603" t="s">
        <v>5916</v>
      </c>
      <c r="BF603" t="str">
        <f>HYPERLINK("http://dx.doi.org/10.1038/s41401-021-00615-6","http://dx.doi.org/10.1038/s41401-021-00615-6")</f>
        <v>http://dx.doi.org/10.1038/s41401-021-00615-6</v>
      </c>
      <c r="BG603" t="s">
        <v>74</v>
      </c>
      <c r="BH603" t="s">
        <v>4258</v>
      </c>
      <c r="BI603" t="s">
        <v>74</v>
      </c>
      <c r="BJ603" t="s">
        <v>1424</v>
      </c>
      <c r="BK603" t="s">
        <v>112</v>
      </c>
      <c r="BL603" t="s">
        <v>1425</v>
      </c>
      <c r="BM603" t="s">
        <v>74</v>
      </c>
      <c r="BN603">
        <v>33637947</v>
      </c>
      <c r="BO603" t="s">
        <v>74</v>
      </c>
      <c r="BP603" t="s">
        <v>74</v>
      </c>
      <c r="BQ603" t="s">
        <v>74</v>
      </c>
      <c r="BR603" t="s">
        <v>93</v>
      </c>
      <c r="BS603" t="s">
        <v>5917</v>
      </c>
      <c r="BT603" t="str">
        <f>HYPERLINK("https%3A%2F%2Fwww.webofscience.com%2Fwos%2Fwoscc%2Ffull-record%2FWOS:000622271300001","View Full Record in Web of Science")</f>
        <v>View Full Record in Web of Science</v>
      </c>
    </row>
    <row r="604" spans="1:72" x14ac:dyDescent="0.15">
      <c r="A604" t="s">
        <v>72</v>
      </c>
      <c r="B604" t="s">
        <v>6292</v>
      </c>
      <c r="C604" t="s">
        <v>74</v>
      </c>
      <c r="D604" t="s">
        <v>74</v>
      </c>
      <c r="E604" t="s">
        <v>74</v>
      </c>
      <c r="F604" t="s">
        <v>6293</v>
      </c>
      <c r="G604" t="s">
        <v>74</v>
      </c>
      <c r="H604" t="s">
        <v>74</v>
      </c>
      <c r="I604" t="s">
        <v>6294</v>
      </c>
      <c r="J604" t="s">
        <v>6295</v>
      </c>
      <c r="K604" t="s">
        <v>74</v>
      </c>
      <c r="L604" t="s">
        <v>74</v>
      </c>
      <c r="M604" t="s">
        <v>74</v>
      </c>
      <c r="N604" t="s">
        <v>78</v>
      </c>
      <c r="O604" t="s">
        <v>74</v>
      </c>
      <c r="P604" t="s">
        <v>74</v>
      </c>
      <c r="Q604" t="s">
        <v>74</v>
      </c>
      <c r="R604" t="s">
        <v>74</v>
      </c>
      <c r="S604" t="s">
        <v>74</v>
      </c>
      <c r="T604" t="s">
        <v>6296</v>
      </c>
      <c r="U604" t="s">
        <v>6297</v>
      </c>
      <c r="V604" t="s">
        <v>6298</v>
      </c>
      <c r="W604" t="s">
        <v>6299</v>
      </c>
      <c r="X604" t="s">
        <v>6300</v>
      </c>
      <c r="Y604" t="s">
        <v>6301</v>
      </c>
      <c r="Z604" t="s">
        <v>6302</v>
      </c>
      <c r="AA604" t="s">
        <v>6303</v>
      </c>
      <c r="AB604" t="s">
        <v>6304</v>
      </c>
      <c r="AC604" t="s">
        <v>74</v>
      </c>
      <c r="AD604" t="s">
        <v>74</v>
      </c>
      <c r="AE604" t="s">
        <v>74</v>
      </c>
      <c r="AF604" t="s">
        <v>74</v>
      </c>
      <c r="AG604">
        <v>36</v>
      </c>
      <c r="AH604">
        <v>2</v>
      </c>
      <c r="AI604">
        <v>2</v>
      </c>
      <c r="AJ604">
        <v>0</v>
      </c>
      <c r="AK604">
        <v>7</v>
      </c>
      <c r="AL604" t="s">
        <v>74</v>
      </c>
      <c r="AM604" t="s">
        <v>74</v>
      </c>
      <c r="AN604" t="s">
        <v>74</v>
      </c>
      <c r="AO604" t="s">
        <v>6305</v>
      </c>
      <c r="AP604" t="s">
        <v>6306</v>
      </c>
      <c r="AQ604" t="s">
        <v>74</v>
      </c>
      <c r="AR604" t="s">
        <v>74</v>
      </c>
      <c r="AS604" t="s">
        <v>74</v>
      </c>
      <c r="AT604" t="s">
        <v>236</v>
      </c>
      <c r="AU604">
        <v>2014</v>
      </c>
      <c r="AV604">
        <v>48</v>
      </c>
      <c r="AW604">
        <v>6</v>
      </c>
      <c r="AX604" t="s">
        <v>74</v>
      </c>
      <c r="AY604" t="s">
        <v>74</v>
      </c>
      <c r="AZ604" t="s">
        <v>74</v>
      </c>
      <c r="BA604" t="s">
        <v>74</v>
      </c>
      <c r="BB604">
        <v>878</v>
      </c>
      <c r="BC604">
        <v>885</v>
      </c>
      <c r="BD604" t="s">
        <v>74</v>
      </c>
      <c r="BE604" t="s">
        <v>6307</v>
      </c>
      <c r="BF604" t="str">
        <f>HYPERLINK("http://dx.doi.org/10.1134/S0026893314060089","http://dx.doi.org/10.1134/S0026893314060089")</f>
        <v>http://dx.doi.org/10.1134/S0026893314060089</v>
      </c>
      <c r="BG604" t="s">
        <v>74</v>
      </c>
      <c r="BH604" t="s">
        <v>74</v>
      </c>
      <c r="BI604" t="s">
        <v>74</v>
      </c>
      <c r="BJ604" t="s">
        <v>92</v>
      </c>
      <c r="BK604" t="s">
        <v>112</v>
      </c>
      <c r="BL604" t="s">
        <v>92</v>
      </c>
      <c r="BM604" t="s">
        <v>74</v>
      </c>
      <c r="BN604" t="s">
        <v>74</v>
      </c>
      <c r="BO604" t="s">
        <v>74</v>
      </c>
      <c r="BP604" t="s">
        <v>74</v>
      </c>
      <c r="BQ604" t="s">
        <v>74</v>
      </c>
      <c r="BR604" t="s">
        <v>93</v>
      </c>
      <c r="BS604" t="s">
        <v>6308</v>
      </c>
      <c r="BT604" t="str">
        <f>HYPERLINK("https%3A%2F%2Fwww.webofscience.com%2Fwos%2Fwoscc%2Ffull-record%2FWOS:000346489400014","View Full Record in Web of Science")</f>
        <v>View Full Record in Web of Science</v>
      </c>
    </row>
    <row r="605" spans="1:72" x14ac:dyDescent="0.15">
      <c r="A605" t="s">
        <v>72</v>
      </c>
      <c r="B605" t="s">
        <v>6550</v>
      </c>
      <c r="C605" t="s">
        <v>74</v>
      </c>
      <c r="D605" t="s">
        <v>74</v>
      </c>
      <c r="E605" t="s">
        <v>74</v>
      </c>
      <c r="F605" t="s">
        <v>6551</v>
      </c>
      <c r="G605" t="s">
        <v>74</v>
      </c>
      <c r="H605" t="s">
        <v>74</v>
      </c>
      <c r="I605" t="s">
        <v>6552</v>
      </c>
      <c r="J605" t="s">
        <v>6553</v>
      </c>
      <c r="K605" t="s">
        <v>74</v>
      </c>
      <c r="L605" t="s">
        <v>74</v>
      </c>
      <c r="M605" t="s">
        <v>74</v>
      </c>
      <c r="N605" t="s">
        <v>78</v>
      </c>
      <c r="O605" t="s">
        <v>74</v>
      </c>
      <c r="P605" t="s">
        <v>74</v>
      </c>
      <c r="Q605" t="s">
        <v>74</v>
      </c>
      <c r="R605" t="s">
        <v>74</v>
      </c>
      <c r="S605" t="s">
        <v>74</v>
      </c>
      <c r="T605" t="s">
        <v>6554</v>
      </c>
      <c r="U605" t="s">
        <v>6555</v>
      </c>
      <c r="V605" t="s">
        <v>6556</v>
      </c>
      <c r="W605" t="s">
        <v>6557</v>
      </c>
      <c r="X605" t="s">
        <v>6558</v>
      </c>
      <c r="Y605" t="s">
        <v>6559</v>
      </c>
      <c r="Z605" t="s">
        <v>6560</v>
      </c>
      <c r="AA605" t="s">
        <v>6561</v>
      </c>
      <c r="AB605" t="s">
        <v>6562</v>
      </c>
      <c r="AC605" t="s">
        <v>74</v>
      </c>
      <c r="AD605" t="s">
        <v>74</v>
      </c>
      <c r="AE605" t="s">
        <v>74</v>
      </c>
      <c r="AF605" t="s">
        <v>74</v>
      </c>
      <c r="AG605">
        <v>74</v>
      </c>
      <c r="AH605">
        <v>2</v>
      </c>
      <c r="AI605">
        <v>2</v>
      </c>
      <c r="AJ605">
        <v>6</v>
      </c>
      <c r="AK605">
        <v>8</v>
      </c>
      <c r="AL605" t="s">
        <v>74</v>
      </c>
      <c r="AM605" t="s">
        <v>74</v>
      </c>
      <c r="AN605" t="s">
        <v>74</v>
      </c>
      <c r="AO605" t="s">
        <v>74</v>
      </c>
      <c r="AP605" t="s">
        <v>6563</v>
      </c>
      <c r="AQ605" t="s">
        <v>74</v>
      </c>
      <c r="AR605" t="s">
        <v>74</v>
      </c>
      <c r="AS605" t="s">
        <v>74</v>
      </c>
      <c r="AT605" t="s">
        <v>6564</v>
      </c>
      <c r="AU605">
        <v>2021</v>
      </c>
      <c r="AV605">
        <v>12</v>
      </c>
      <c r="AW605" t="s">
        <v>74</v>
      </c>
      <c r="AX605" t="s">
        <v>74</v>
      </c>
      <c r="AY605" t="s">
        <v>74</v>
      </c>
      <c r="AZ605" t="s">
        <v>74</v>
      </c>
      <c r="BA605" t="s">
        <v>74</v>
      </c>
      <c r="BB605" t="s">
        <v>74</v>
      </c>
      <c r="BC605" t="s">
        <v>74</v>
      </c>
      <c r="BD605">
        <v>767112</v>
      </c>
      <c r="BE605" t="s">
        <v>6565</v>
      </c>
      <c r="BF605" t="str">
        <f>HYPERLINK("http://dx.doi.org/10.3389/fphys.2021.767112","http://dx.doi.org/10.3389/fphys.2021.767112")</f>
        <v>http://dx.doi.org/10.3389/fphys.2021.767112</v>
      </c>
      <c r="BG605" t="s">
        <v>74</v>
      </c>
      <c r="BH605" t="s">
        <v>74</v>
      </c>
      <c r="BI605" t="s">
        <v>74</v>
      </c>
      <c r="BJ605" t="s">
        <v>6566</v>
      </c>
      <c r="BK605" t="s">
        <v>112</v>
      </c>
      <c r="BL605" t="s">
        <v>6566</v>
      </c>
      <c r="BM605" t="s">
        <v>74</v>
      </c>
      <c r="BN605">
        <v>34970155</v>
      </c>
      <c r="BO605" t="s">
        <v>74</v>
      </c>
      <c r="BP605" t="s">
        <v>74</v>
      </c>
      <c r="BQ605" t="s">
        <v>74</v>
      </c>
      <c r="BR605" t="s">
        <v>93</v>
      </c>
      <c r="BS605" t="s">
        <v>6567</v>
      </c>
      <c r="BT605" t="str">
        <f>HYPERLINK("https%3A%2F%2Fwww.webofscience.com%2Fwos%2Fwoscc%2Ffull-record%2FWOS:000737251400001","View Full Record in Web of Science")</f>
        <v>View Full Record in Web of Science</v>
      </c>
    </row>
    <row r="606" spans="1:72" x14ac:dyDescent="0.15">
      <c r="A606" t="s">
        <v>72</v>
      </c>
      <c r="B606" t="s">
        <v>6867</v>
      </c>
      <c r="C606" t="s">
        <v>74</v>
      </c>
      <c r="D606" t="s">
        <v>74</v>
      </c>
      <c r="E606" t="s">
        <v>74</v>
      </c>
      <c r="F606" t="s">
        <v>6868</v>
      </c>
      <c r="G606" t="s">
        <v>74</v>
      </c>
      <c r="H606" t="s">
        <v>74</v>
      </c>
      <c r="I606" t="s">
        <v>6869</v>
      </c>
      <c r="J606" t="s">
        <v>4218</v>
      </c>
      <c r="K606" t="s">
        <v>74</v>
      </c>
      <c r="L606" t="s">
        <v>74</v>
      </c>
      <c r="M606" t="s">
        <v>74</v>
      </c>
      <c r="N606" t="s">
        <v>78</v>
      </c>
      <c r="O606" t="s">
        <v>74</v>
      </c>
      <c r="P606" t="s">
        <v>74</v>
      </c>
      <c r="Q606" t="s">
        <v>74</v>
      </c>
      <c r="R606" t="s">
        <v>74</v>
      </c>
      <c r="S606" t="s">
        <v>74</v>
      </c>
      <c r="T606" t="s">
        <v>6870</v>
      </c>
      <c r="U606" t="s">
        <v>6871</v>
      </c>
      <c r="V606" t="s">
        <v>6872</v>
      </c>
      <c r="W606" t="s">
        <v>6873</v>
      </c>
      <c r="X606" t="s">
        <v>6434</v>
      </c>
      <c r="Y606" t="s">
        <v>6874</v>
      </c>
      <c r="Z606" t="s">
        <v>6436</v>
      </c>
      <c r="AA606" t="s">
        <v>74</v>
      </c>
      <c r="AB606" t="s">
        <v>6437</v>
      </c>
      <c r="AC606" t="s">
        <v>74</v>
      </c>
      <c r="AD606" t="s">
        <v>74</v>
      </c>
      <c r="AE606" t="s">
        <v>74</v>
      </c>
      <c r="AF606" t="s">
        <v>74</v>
      </c>
      <c r="AG606">
        <v>42</v>
      </c>
      <c r="AH606">
        <v>2</v>
      </c>
      <c r="AI606">
        <v>2</v>
      </c>
      <c r="AJ606">
        <v>22</v>
      </c>
      <c r="AK606">
        <v>27</v>
      </c>
      <c r="AL606" t="s">
        <v>74</v>
      </c>
      <c r="AM606" t="s">
        <v>74</v>
      </c>
      <c r="AN606" t="s">
        <v>74</v>
      </c>
      <c r="AO606" t="s">
        <v>4226</v>
      </c>
      <c r="AP606" t="s">
        <v>4227</v>
      </c>
      <c r="AQ606" t="s">
        <v>74</v>
      </c>
      <c r="AR606" t="s">
        <v>74</v>
      </c>
      <c r="AS606" t="s">
        <v>74</v>
      </c>
      <c r="AT606" t="s">
        <v>2586</v>
      </c>
      <c r="AU606">
        <v>2022</v>
      </c>
      <c r="AV606">
        <v>1192</v>
      </c>
      <c r="AW606" t="s">
        <v>74</v>
      </c>
      <c r="AX606" t="s">
        <v>74</v>
      </c>
      <c r="AY606" t="s">
        <v>74</v>
      </c>
      <c r="AZ606" t="s">
        <v>74</v>
      </c>
      <c r="BA606" t="s">
        <v>74</v>
      </c>
      <c r="BB606" t="s">
        <v>74</v>
      </c>
      <c r="BC606" t="s">
        <v>74</v>
      </c>
      <c r="BD606">
        <v>339382</v>
      </c>
      <c r="BE606" t="s">
        <v>6875</v>
      </c>
      <c r="BF606" t="str">
        <f>HYPERLINK("http://dx.doi.org/10.1016/j.aca.2021.339382","http://dx.doi.org/10.1016/j.aca.2021.339382")</f>
        <v>http://dx.doi.org/10.1016/j.aca.2021.339382</v>
      </c>
      <c r="BG606" t="s">
        <v>74</v>
      </c>
      <c r="BH606" t="s">
        <v>2122</v>
      </c>
      <c r="BI606" t="s">
        <v>74</v>
      </c>
      <c r="BJ606" t="s">
        <v>1196</v>
      </c>
      <c r="BK606" t="s">
        <v>112</v>
      </c>
      <c r="BL606" t="s">
        <v>1197</v>
      </c>
      <c r="BM606" t="s">
        <v>74</v>
      </c>
      <c r="BN606">
        <v>35057921</v>
      </c>
      <c r="BO606" t="s">
        <v>74</v>
      </c>
      <c r="BP606" t="s">
        <v>74</v>
      </c>
      <c r="BQ606" t="s">
        <v>74</v>
      </c>
      <c r="BR606" t="s">
        <v>93</v>
      </c>
      <c r="BS606" t="s">
        <v>6876</v>
      </c>
      <c r="BT606" t="str">
        <f>HYPERLINK("https%3A%2F%2Fwww.webofscience.com%2Fwos%2Fwoscc%2Ffull-record%2FWOS:000735770400005","View Full Record in Web of Science")</f>
        <v>View Full Record in Web of Science</v>
      </c>
    </row>
    <row r="607" spans="1:72" x14ac:dyDescent="0.15">
      <c r="A607" t="s">
        <v>72</v>
      </c>
      <c r="B607" t="s">
        <v>7395</v>
      </c>
      <c r="C607" t="s">
        <v>74</v>
      </c>
      <c r="D607" t="s">
        <v>74</v>
      </c>
      <c r="E607" t="s">
        <v>74</v>
      </c>
      <c r="F607" t="s">
        <v>7396</v>
      </c>
      <c r="G607" t="s">
        <v>74</v>
      </c>
      <c r="H607" t="s">
        <v>74</v>
      </c>
      <c r="I607" t="s">
        <v>7397</v>
      </c>
      <c r="J607" t="s">
        <v>151</v>
      </c>
      <c r="K607" t="s">
        <v>74</v>
      </c>
      <c r="L607" t="s">
        <v>74</v>
      </c>
      <c r="M607" t="s">
        <v>74</v>
      </c>
      <c r="N607" t="s">
        <v>78</v>
      </c>
      <c r="O607" t="s">
        <v>74</v>
      </c>
      <c r="P607" t="s">
        <v>74</v>
      </c>
      <c r="Q607" t="s">
        <v>74</v>
      </c>
      <c r="R607" t="s">
        <v>74</v>
      </c>
      <c r="S607" t="s">
        <v>74</v>
      </c>
      <c r="T607" t="s">
        <v>7398</v>
      </c>
      <c r="U607" t="s">
        <v>7399</v>
      </c>
      <c r="V607" t="s">
        <v>7400</v>
      </c>
      <c r="W607" t="s">
        <v>7401</v>
      </c>
      <c r="X607" t="s">
        <v>7402</v>
      </c>
      <c r="Y607" t="s">
        <v>7403</v>
      </c>
      <c r="Z607" t="s">
        <v>7404</v>
      </c>
      <c r="AA607" t="s">
        <v>74</v>
      </c>
      <c r="AB607" t="s">
        <v>7405</v>
      </c>
      <c r="AC607" t="s">
        <v>74</v>
      </c>
      <c r="AD607" t="s">
        <v>74</v>
      </c>
      <c r="AE607" t="s">
        <v>74</v>
      </c>
      <c r="AF607" t="s">
        <v>74</v>
      </c>
      <c r="AG607">
        <v>44</v>
      </c>
      <c r="AH607">
        <v>2</v>
      </c>
      <c r="AI607">
        <v>2</v>
      </c>
      <c r="AJ607">
        <v>0</v>
      </c>
      <c r="AK607">
        <v>0</v>
      </c>
      <c r="AL607" t="s">
        <v>74</v>
      </c>
      <c r="AM607" t="s">
        <v>74</v>
      </c>
      <c r="AN607" t="s">
        <v>74</v>
      </c>
      <c r="AO607" t="s">
        <v>74</v>
      </c>
      <c r="AP607" t="s">
        <v>160</v>
      </c>
      <c r="AQ607" t="s">
        <v>74</v>
      </c>
      <c r="AR607" t="s">
        <v>74</v>
      </c>
      <c r="AS607" t="s">
        <v>74</v>
      </c>
      <c r="AT607" t="s">
        <v>1111</v>
      </c>
      <c r="AU607">
        <v>2022</v>
      </c>
      <c r="AV607">
        <v>14</v>
      </c>
      <c r="AW607">
        <v>9</v>
      </c>
      <c r="AX607" t="s">
        <v>74</v>
      </c>
      <c r="AY607" t="s">
        <v>74</v>
      </c>
      <c r="AZ607" t="s">
        <v>74</v>
      </c>
      <c r="BA607" t="s">
        <v>74</v>
      </c>
      <c r="BB607" t="s">
        <v>74</v>
      </c>
      <c r="BC607" t="s">
        <v>74</v>
      </c>
      <c r="BD607">
        <v>2061</v>
      </c>
      <c r="BE607" t="s">
        <v>7406</v>
      </c>
      <c r="BF607" t="str">
        <f>HYPERLINK("http://dx.doi.org/10.3390/cancers14092061","http://dx.doi.org/10.3390/cancers14092061")</f>
        <v>http://dx.doi.org/10.3390/cancers14092061</v>
      </c>
      <c r="BG607" t="s">
        <v>74</v>
      </c>
      <c r="BH607" t="s">
        <v>74</v>
      </c>
      <c r="BI607" t="s">
        <v>74</v>
      </c>
      <c r="BJ607" t="s">
        <v>146</v>
      </c>
      <c r="BK607" t="s">
        <v>112</v>
      </c>
      <c r="BL607" t="s">
        <v>146</v>
      </c>
      <c r="BM607" t="s">
        <v>74</v>
      </c>
      <c r="BN607">
        <v>35565192</v>
      </c>
      <c r="BO607" t="s">
        <v>74</v>
      </c>
      <c r="BP607" t="s">
        <v>74</v>
      </c>
      <c r="BQ607" t="s">
        <v>74</v>
      </c>
      <c r="BR607" t="s">
        <v>93</v>
      </c>
      <c r="BS607" t="s">
        <v>7407</v>
      </c>
      <c r="BT607" t="str">
        <f>HYPERLINK("https%3A%2F%2Fwww.webofscience.com%2Fwos%2Fwoscc%2Ffull-record%2FWOS:000794787700001","View Full Record in Web of Science")</f>
        <v>View Full Record in Web of Science</v>
      </c>
    </row>
    <row r="608" spans="1:72" x14ac:dyDescent="0.15">
      <c r="A608" t="s">
        <v>72</v>
      </c>
      <c r="B608" t="s">
        <v>8069</v>
      </c>
      <c r="C608" t="s">
        <v>74</v>
      </c>
      <c r="D608" t="s">
        <v>74</v>
      </c>
      <c r="E608" t="s">
        <v>74</v>
      </c>
      <c r="F608" t="s">
        <v>8070</v>
      </c>
      <c r="G608" t="s">
        <v>74</v>
      </c>
      <c r="H608" t="s">
        <v>74</v>
      </c>
      <c r="I608" t="s">
        <v>8071</v>
      </c>
      <c r="J608" t="s">
        <v>8072</v>
      </c>
      <c r="K608" t="s">
        <v>74</v>
      </c>
      <c r="L608" t="s">
        <v>74</v>
      </c>
      <c r="M608" t="s">
        <v>74</v>
      </c>
      <c r="N608" t="s">
        <v>78</v>
      </c>
      <c r="O608" t="s">
        <v>74</v>
      </c>
      <c r="P608" t="s">
        <v>74</v>
      </c>
      <c r="Q608" t="s">
        <v>74</v>
      </c>
      <c r="R608" t="s">
        <v>74</v>
      </c>
      <c r="S608" t="s">
        <v>74</v>
      </c>
      <c r="T608" t="s">
        <v>74</v>
      </c>
      <c r="U608" t="s">
        <v>8073</v>
      </c>
      <c r="V608" t="s">
        <v>8074</v>
      </c>
      <c r="W608" t="s">
        <v>8075</v>
      </c>
      <c r="X608" t="s">
        <v>8076</v>
      </c>
      <c r="Y608" t="s">
        <v>8077</v>
      </c>
      <c r="Z608" t="s">
        <v>8078</v>
      </c>
      <c r="AA608" t="s">
        <v>74</v>
      </c>
      <c r="AB608" t="s">
        <v>8079</v>
      </c>
      <c r="AC608" t="s">
        <v>74</v>
      </c>
      <c r="AD608" t="s">
        <v>74</v>
      </c>
      <c r="AE608" t="s">
        <v>74</v>
      </c>
      <c r="AF608" t="s">
        <v>74</v>
      </c>
      <c r="AG608">
        <v>30</v>
      </c>
      <c r="AH608">
        <v>2</v>
      </c>
      <c r="AI608">
        <v>2</v>
      </c>
      <c r="AJ608">
        <v>1</v>
      </c>
      <c r="AK608">
        <v>2</v>
      </c>
      <c r="AL608" t="s">
        <v>74</v>
      </c>
      <c r="AM608" t="s">
        <v>74</v>
      </c>
      <c r="AN608" t="s">
        <v>74</v>
      </c>
      <c r="AO608" t="s">
        <v>8080</v>
      </c>
      <c r="AP608" t="s">
        <v>8081</v>
      </c>
      <c r="AQ608" t="s">
        <v>74</v>
      </c>
      <c r="AR608" t="s">
        <v>74</v>
      </c>
      <c r="AS608" t="s">
        <v>74</v>
      </c>
      <c r="AT608" t="s">
        <v>640</v>
      </c>
      <c r="AU608">
        <v>2021</v>
      </c>
      <c r="AV608">
        <v>59</v>
      </c>
      <c r="AW608">
        <v>2</v>
      </c>
      <c r="AX608" t="s">
        <v>74</v>
      </c>
      <c r="AY608" t="s">
        <v>74</v>
      </c>
      <c r="AZ608" t="s">
        <v>74</v>
      </c>
      <c r="BA608" t="s">
        <v>74</v>
      </c>
      <c r="BB608">
        <v>167</v>
      </c>
      <c r="BC608">
        <v>174</v>
      </c>
      <c r="BD608" t="s">
        <v>74</v>
      </c>
      <c r="BE608" t="s">
        <v>8082</v>
      </c>
      <c r="BF608" t="str">
        <f>HYPERLINK("http://dx.doi.org/10.1038/s41393-020-0518-3","http://dx.doi.org/10.1038/s41393-020-0518-3")</f>
        <v>http://dx.doi.org/10.1038/s41393-020-0518-3</v>
      </c>
      <c r="BG608" t="s">
        <v>74</v>
      </c>
      <c r="BH608" t="s">
        <v>8083</v>
      </c>
      <c r="BI608" t="s">
        <v>74</v>
      </c>
      <c r="BJ608" t="s">
        <v>8084</v>
      </c>
      <c r="BK608" t="s">
        <v>112</v>
      </c>
      <c r="BL608" t="s">
        <v>8085</v>
      </c>
      <c r="BM608" t="s">
        <v>74</v>
      </c>
      <c r="BN608">
        <v>32651457</v>
      </c>
      <c r="BO608" t="s">
        <v>74</v>
      </c>
      <c r="BP608" t="s">
        <v>74</v>
      </c>
      <c r="BQ608" t="s">
        <v>74</v>
      </c>
      <c r="BR608" t="s">
        <v>93</v>
      </c>
      <c r="BS608" t="s">
        <v>8086</v>
      </c>
      <c r="BT608" t="str">
        <f>HYPERLINK("https%3A%2F%2Fwww.webofscience.com%2Fwos%2Fwoscc%2Ffull-record%2FWOS:000547240600001","View Full Record in Web of Science")</f>
        <v>View Full Record in Web of Science</v>
      </c>
    </row>
    <row r="609" spans="1:72" x14ac:dyDescent="0.15">
      <c r="A609" t="s">
        <v>72</v>
      </c>
      <c r="B609" t="s">
        <v>8098</v>
      </c>
      <c r="C609" t="s">
        <v>74</v>
      </c>
      <c r="D609" t="s">
        <v>74</v>
      </c>
      <c r="E609" t="s">
        <v>74</v>
      </c>
      <c r="F609" t="s">
        <v>8099</v>
      </c>
      <c r="G609" t="s">
        <v>74</v>
      </c>
      <c r="H609" t="s">
        <v>74</v>
      </c>
      <c r="I609" t="s">
        <v>8100</v>
      </c>
      <c r="J609" t="s">
        <v>151</v>
      </c>
      <c r="K609" t="s">
        <v>74</v>
      </c>
      <c r="L609" t="s">
        <v>74</v>
      </c>
      <c r="M609" t="s">
        <v>74</v>
      </c>
      <c r="N609" t="s">
        <v>78</v>
      </c>
      <c r="O609" t="s">
        <v>74</v>
      </c>
      <c r="P609" t="s">
        <v>74</v>
      </c>
      <c r="Q609" t="s">
        <v>74</v>
      </c>
      <c r="R609" t="s">
        <v>74</v>
      </c>
      <c r="S609" t="s">
        <v>74</v>
      </c>
      <c r="T609" t="s">
        <v>8101</v>
      </c>
      <c r="U609" t="s">
        <v>8102</v>
      </c>
      <c r="V609" t="s">
        <v>8103</v>
      </c>
      <c r="W609" t="s">
        <v>8104</v>
      </c>
      <c r="X609" t="s">
        <v>8105</v>
      </c>
      <c r="Y609" t="s">
        <v>8106</v>
      </c>
      <c r="Z609" t="s">
        <v>8107</v>
      </c>
      <c r="AA609" t="s">
        <v>74</v>
      </c>
      <c r="AB609" t="s">
        <v>8108</v>
      </c>
      <c r="AC609" t="s">
        <v>74</v>
      </c>
      <c r="AD609" t="s">
        <v>74</v>
      </c>
      <c r="AE609" t="s">
        <v>74</v>
      </c>
      <c r="AF609" t="s">
        <v>74</v>
      </c>
      <c r="AG609">
        <v>44</v>
      </c>
      <c r="AH609">
        <v>2</v>
      </c>
      <c r="AI609">
        <v>2</v>
      </c>
      <c r="AJ609">
        <v>7</v>
      </c>
      <c r="AK609">
        <v>10</v>
      </c>
      <c r="AL609" t="s">
        <v>74</v>
      </c>
      <c r="AM609" t="s">
        <v>74</v>
      </c>
      <c r="AN609" t="s">
        <v>74</v>
      </c>
      <c r="AO609" t="s">
        <v>74</v>
      </c>
      <c r="AP609" t="s">
        <v>160</v>
      </c>
      <c r="AQ609" t="s">
        <v>74</v>
      </c>
      <c r="AR609" t="s">
        <v>74</v>
      </c>
      <c r="AS609" t="s">
        <v>74</v>
      </c>
      <c r="AT609" t="s">
        <v>236</v>
      </c>
      <c r="AU609">
        <v>2021</v>
      </c>
      <c r="AV609">
        <v>13</v>
      </c>
      <c r="AW609">
        <v>21</v>
      </c>
      <c r="AX609" t="s">
        <v>74</v>
      </c>
      <c r="AY609" t="s">
        <v>74</v>
      </c>
      <c r="AZ609" t="s">
        <v>74</v>
      </c>
      <c r="BA609" t="s">
        <v>74</v>
      </c>
      <c r="BB609" t="s">
        <v>74</v>
      </c>
      <c r="BC609" t="s">
        <v>74</v>
      </c>
      <c r="BD609">
        <v>5482</v>
      </c>
      <c r="BE609" t="s">
        <v>8109</v>
      </c>
      <c r="BF609" t="str">
        <f>HYPERLINK("http://dx.doi.org/10.3390/cancers13215482","http://dx.doi.org/10.3390/cancers13215482")</f>
        <v>http://dx.doi.org/10.3390/cancers13215482</v>
      </c>
      <c r="BG609" t="s">
        <v>74</v>
      </c>
      <c r="BH609" t="s">
        <v>74</v>
      </c>
      <c r="BI609" t="s">
        <v>74</v>
      </c>
      <c r="BJ609" t="s">
        <v>146</v>
      </c>
      <c r="BK609" t="s">
        <v>112</v>
      </c>
      <c r="BL609" t="s">
        <v>146</v>
      </c>
      <c r="BM609" t="s">
        <v>74</v>
      </c>
      <c r="BN609">
        <v>34771645</v>
      </c>
      <c r="BO609" t="s">
        <v>74</v>
      </c>
      <c r="BP609" t="s">
        <v>74</v>
      </c>
      <c r="BQ609" t="s">
        <v>74</v>
      </c>
      <c r="BR609" t="s">
        <v>93</v>
      </c>
      <c r="BS609" t="s">
        <v>8110</v>
      </c>
      <c r="BT609" t="str">
        <f>HYPERLINK("https%3A%2F%2Fwww.webofscience.com%2Fwos%2Fwoscc%2Ffull-record%2FWOS:000718347400001","View Full Record in Web of Science")</f>
        <v>View Full Record in Web of Science</v>
      </c>
    </row>
    <row r="610" spans="1:72" x14ac:dyDescent="0.15">
      <c r="A610" t="s">
        <v>72</v>
      </c>
      <c r="B610" t="s">
        <v>8199</v>
      </c>
      <c r="C610" t="s">
        <v>74</v>
      </c>
      <c r="D610" t="s">
        <v>74</v>
      </c>
      <c r="E610" t="s">
        <v>74</v>
      </c>
      <c r="F610" t="s">
        <v>8200</v>
      </c>
      <c r="G610" t="s">
        <v>74</v>
      </c>
      <c r="H610" t="s">
        <v>74</v>
      </c>
      <c r="I610" t="s">
        <v>8201</v>
      </c>
      <c r="J610" t="s">
        <v>1828</v>
      </c>
      <c r="K610" t="s">
        <v>74</v>
      </c>
      <c r="L610" t="s">
        <v>74</v>
      </c>
      <c r="M610" t="s">
        <v>74</v>
      </c>
      <c r="N610" t="s">
        <v>78</v>
      </c>
      <c r="O610" t="s">
        <v>74</v>
      </c>
      <c r="P610" t="s">
        <v>74</v>
      </c>
      <c r="Q610" t="s">
        <v>74</v>
      </c>
      <c r="R610" t="s">
        <v>74</v>
      </c>
      <c r="S610" t="s">
        <v>74</v>
      </c>
      <c r="T610" t="s">
        <v>74</v>
      </c>
      <c r="U610" t="s">
        <v>8202</v>
      </c>
      <c r="V610" t="s">
        <v>8203</v>
      </c>
      <c r="W610" t="s">
        <v>8204</v>
      </c>
      <c r="X610" t="s">
        <v>8205</v>
      </c>
      <c r="Y610" t="s">
        <v>8206</v>
      </c>
      <c r="Z610" t="s">
        <v>8207</v>
      </c>
      <c r="AA610" t="s">
        <v>8208</v>
      </c>
      <c r="AB610" t="s">
        <v>8209</v>
      </c>
      <c r="AC610" t="s">
        <v>74</v>
      </c>
      <c r="AD610" t="s">
        <v>74</v>
      </c>
      <c r="AE610" t="s">
        <v>74</v>
      </c>
      <c r="AF610" t="s">
        <v>74</v>
      </c>
      <c r="AG610">
        <v>27</v>
      </c>
      <c r="AH610">
        <v>2</v>
      </c>
      <c r="AI610">
        <v>2</v>
      </c>
      <c r="AJ610">
        <v>2</v>
      </c>
      <c r="AK610">
        <v>3</v>
      </c>
      <c r="AL610" t="s">
        <v>74</v>
      </c>
      <c r="AM610" t="s">
        <v>74</v>
      </c>
      <c r="AN610" t="s">
        <v>74</v>
      </c>
      <c r="AO610" t="s">
        <v>1837</v>
      </c>
      <c r="AP610" t="s">
        <v>74</v>
      </c>
      <c r="AQ610" t="s">
        <v>74</v>
      </c>
      <c r="AR610" t="s">
        <v>74</v>
      </c>
      <c r="AS610" t="s">
        <v>74</v>
      </c>
      <c r="AT610" t="s">
        <v>4182</v>
      </c>
      <c r="AU610">
        <v>2021</v>
      </c>
      <c r="AV610">
        <v>11</v>
      </c>
      <c r="AW610">
        <v>1</v>
      </c>
      <c r="AX610" t="s">
        <v>74</v>
      </c>
      <c r="AY610" t="s">
        <v>74</v>
      </c>
      <c r="AZ610" t="s">
        <v>74</v>
      </c>
      <c r="BA610" t="s">
        <v>74</v>
      </c>
      <c r="BB610" t="s">
        <v>74</v>
      </c>
      <c r="BC610" t="s">
        <v>74</v>
      </c>
      <c r="BD610">
        <v>22686</v>
      </c>
      <c r="BE610" t="s">
        <v>8210</v>
      </c>
      <c r="BF610" t="str">
        <f>HYPERLINK("http://dx.doi.org/10.1038/s41598-021-01668-7","http://dx.doi.org/10.1038/s41598-021-01668-7")</f>
        <v>http://dx.doi.org/10.1038/s41598-021-01668-7</v>
      </c>
      <c r="BG610" t="s">
        <v>74</v>
      </c>
      <c r="BH610" t="s">
        <v>74</v>
      </c>
      <c r="BI610" t="s">
        <v>74</v>
      </c>
      <c r="BJ610" t="s">
        <v>545</v>
      </c>
      <c r="BK610" t="s">
        <v>112</v>
      </c>
      <c r="BL610" t="s">
        <v>546</v>
      </c>
      <c r="BM610" t="s">
        <v>74</v>
      </c>
      <c r="BN610">
        <v>34811396</v>
      </c>
      <c r="BO610" t="s">
        <v>74</v>
      </c>
      <c r="BP610" t="s">
        <v>74</v>
      </c>
      <c r="BQ610" t="s">
        <v>74</v>
      </c>
      <c r="BR610" t="s">
        <v>93</v>
      </c>
      <c r="BS610" t="s">
        <v>8211</v>
      </c>
      <c r="BT610" t="str">
        <f>HYPERLINK("https%3A%2F%2Fwww.webofscience.com%2Fwos%2Fwoscc%2Ffull-record%2FWOS:000722270000056","View Full Record in Web of Science")</f>
        <v>View Full Record in Web of Science</v>
      </c>
    </row>
    <row r="611" spans="1:72" x14ac:dyDescent="0.15">
      <c r="A611" t="s">
        <v>72</v>
      </c>
      <c r="B611" t="s">
        <v>8609</v>
      </c>
      <c r="C611" t="s">
        <v>74</v>
      </c>
      <c r="D611" t="s">
        <v>74</v>
      </c>
      <c r="E611" t="s">
        <v>74</v>
      </c>
      <c r="F611" t="s">
        <v>8610</v>
      </c>
      <c r="G611" t="s">
        <v>74</v>
      </c>
      <c r="H611" t="s">
        <v>74</v>
      </c>
      <c r="I611" t="s">
        <v>8611</v>
      </c>
      <c r="J611" t="s">
        <v>8612</v>
      </c>
      <c r="K611" t="s">
        <v>74</v>
      </c>
      <c r="L611" t="s">
        <v>74</v>
      </c>
      <c r="M611" t="s">
        <v>74</v>
      </c>
      <c r="N611" t="s">
        <v>78</v>
      </c>
      <c r="O611" t="s">
        <v>74</v>
      </c>
      <c r="P611" t="s">
        <v>74</v>
      </c>
      <c r="Q611" t="s">
        <v>74</v>
      </c>
      <c r="R611" t="s">
        <v>74</v>
      </c>
      <c r="S611" t="s">
        <v>74</v>
      </c>
      <c r="T611" t="s">
        <v>8613</v>
      </c>
      <c r="U611" t="s">
        <v>8614</v>
      </c>
      <c r="V611" t="s">
        <v>8615</v>
      </c>
      <c r="W611" t="s">
        <v>8616</v>
      </c>
      <c r="X611" t="s">
        <v>8617</v>
      </c>
      <c r="Y611" t="s">
        <v>8618</v>
      </c>
      <c r="Z611" t="s">
        <v>8619</v>
      </c>
      <c r="AA611" t="s">
        <v>74</v>
      </c>
      <c r="AB611" t="s">
        <v>8620</v>
      </c>
      <c r="AC611" t="s">
        <v>74</v>
      </c>
      <c r="AD611" t="s">
        <v>74</v>
      </c>
      <c r="AE611" t="s">
        <v>74</v>
      </c>
      <c r="AF611" t="s">
        <v>74</v>
      </c>
      <c r="AG611">
        <v>47</v>
      </c>
      <c r="AH611">
        <v>2</v>
      </c>
      <c r="AI611">
        <v>2</v>
      </c>
      <c r="AJ611">
        <v>1</v>
      </c>
      <c r="AK611">
        <v>2</v>
      </c>
      <c r="AL611" t="s">
        <v>74</v>
      </c>
      <c r="AM611" t="s">
        <v>74</v>
      </c>
      <c r="AN611" t="s">
        <v>74</v>
      </c>
      <c r="AO611" t="s">
        <v>8621</v>
      </c>
      <c r="AP611" t="s">
        <v>8622</v>
      </c>
      <c r="AQ611" t="s">
        <v>74</v>
      </c>
      <c r="AR611" t="s">
        <v>74</v>
      </c>
      <c r="AS611" t="s">
        <v>74</v>
      </c>
      <c r="AT611" t="s">
        <v>743</v>
      </c>
      <c r="AU611">
        <v>2022</v>
      </c>
      <c r="AV611">
        <v>196</v>
      </c>
      <c r="AW611">
        <v>5</v>
      </c>
      <c r="AX611" t="s">
        <v>74</v>
      </c>
      <c r="AY611" t="s">
        <v>74</v>
      </c>
      <c r="AZ611" t="s">
        <v>74</v>
      </c>
      <c r="BA611" t="s">
        <v>74</v>
      </c>
      <c r="BB611">
        <v>1159</v>
      </c>
      <c r="BC611">
        <v>1169</v>
      </c>
      <c r="BD611" t="s">
        <v>74</v>
      </c>
      <c r="BE611" t="s">
        <v>8623</v>
      </c>
      <c r="BF611" t="str">
        <f>HYPERLINK("http://dx.doi.org/10.1111/bjh.18019","http://dx.doi.org/10.1111/bjh.18019")</f>
        <v>http://dx.doi.org/10.1111/bjh.18019</v>
      </c>
      <c r="BG611" t="s">
        <v>74</v>
      </c>
      <c r="BH611" t="s">
        <v>3173</v>
      </c>
      <c r="BI611" t="s">
        <v>74</v>
      </c>
      <c r="BJ611" t="s">
        <v>1899</v>
      </c>
      <c r="BK611" t="s">
        <v>112</v>
      </c>
      <c r="BL611" t="s">
        <v>1899</v>
      </c>
      <c r="BM611" t="s">
        <v>74</v>
      </c>
      <c r="BN611">
        <v>34962643</v>
      </c>
      <c r="BO611" t="s">
        <v>74</v>
      </c>
      <c r="BP611" t="s">
        <v>74</v>
      </c>
      <c r="BQ611" t="s">
        <v>74</v>
      </c>
      <c r="BR611" t="s">
        <v>93</v>
      </c>
      <c r="BS611" t="s">
        <v>8624</v>
      </c>
      <c r="BT611" t="str">
        <f>HYPERLINK("https%3A%2F%2Fwww.webofscience.com%2Fwos%2Fwoscc%2Ffull-record%2FWOS:000739674300001","View Full Record in Web of Science")</f>
        <v>View Full Record in Web of Science</v>
      </c>
    </row>
    <row r="612" spans="1:72" x14ac:dyDescent="0.15">
      <c r="A612" t="s">
        <v>72</v>
      </c>
      <c r="B612" t="s">
        <v>8711</v>
      </c>
      <c r="C612" t="s">
        <v>74</v>
      </c>
      <c r="D612" t="s">
        <v>74</v>
      </c>
      <c r="E612" t="s">
        <v>74</v>
      </c>
      <c r="F612" t="s">
        <v>8712</v>
      </c>
      <c r="G612" t="s">
        <v>74</v>
      </c>
      <c r="H612" t="s">
        <v>74</v>
      </c>
      <c r="I612" t="s">
        <v>8713</v>
      </c>
      <c r="J612" t="s">
        <v>8714</v>
      </c>
      <c r="K612" t="s">
        <v>74</v>
      </c>
      <c r="L612" t="s">
        <v>74</v>
      </c>
      <c r="M612" t="s">
        <v>74</v>
      </c>
      <c r="N612" t="s">
        <v>78</v>
      </c>
      <c r="O612" t="s">
        <v>74</v>
      </c>
      <c r="P612" t="s">
        <v>74</v>
      </c>
      <c r="Q612" t="s">
        <v>74</v>
      </c>
      <c r="R612" t="s">
        <v>74</v>
      </c>
      <c r="S612" t="s">
        <v>74</v>
      </c>
      <c r="T612" t="s">
        <v>8715</v>
      </c>
      <c r="U612" t="s">
        <v>8716</v>
      </c>
      <c r="V612" t="s">
        <v>8717</v>
      </c>
      <c r="W612" t="s">
        <v>8718</v>
      </c>
      <c r="X612" t="s">
        <v>8719</v>
      </c>
      <c r="Y612" t="s">
        <v>8720</v>
      </c>
      <c r="Z612" t="s">
        <v>8721</v>
      </c>
      <c r="AA612" t="s">
        <v>74</v>
      </c>
      <c r="AB612" t="s">
        <v>8722</v>
      </c>
      <c r="AC612" t="s">
        <v>74</v>
      </c>
      <c r="AD612" t="s">
        <v>74</v>
      </c>
      <c r="AE612" t="s">
        <v>74</v>
      </c>
      <c r="AF612" t="s">
        <v>74</v>
      </c>
      <c r="AG612">
        <v>36</v>
      </c>
      <c r="AH612">
        <v>2</v>
      </c>
      <c r="AI612">
        <v>2</v>
      </c>
      <c r="AJ612">
        <v>10</v>
      </c>
      <c r="AK612">
        <v>10</v>
      </c>
      <c r="AL612" t="s">
        <v>74</v>
      </c>
      <c r="AM612" t="s">
        <v>74</v>
      </c>
      <c r="AN612" t="s">
        <v>74</v>
      </c>
      <c r="AO612" t="s">
        <v>8723</v>
      </c>
      <c r="AP612" t="s">
        <v>8724</v>
      </c>
      <c r="AQ612" t="s">
        <v>74</v>
      </c>
      <c r="AR612" t="s">
        <v>74</v>
      </c>
      <c r="AS612" t="s">
        <v>74</v>
      </c>
      <c r="AT612" t="s">
        <v>88</v>
      </c>
      <c r="AU612">
        <v>2022</v>
      </c>
      <c r="AV612">
        <v>33</v>
      </c>
      <c r="AW612">
        <v>6</v>
      </c>
      <c r="AX612" t="s">
        <v>74</v>
      </c>
      <c r="AY612" t="s">
        <v>74</v>
      </c>
      <c r="AZ612" t="s">
        <v>74</v>
      </c>
      <c r="BA612" t="s">
        <v>74</v>
      </c>
      <c r="BB612">
        <v>3183</v>
      </c>
      <c r="BC612">
        <v>3187</v>
      </c>
      <c r="BD612" t="s">
        <v>74</v>
      </c>
      <c r="BE612" t="s">
        <v>8725</v>
      </c>
      <c r="BF612" t="str">
        <f>HYPERLINK("http://dx.doi.org/10.1016/j.cclet.2021.11.092","http://dx.doi.org/10.1016/j.cclet.2021.11.092")</f>
        <v>http://dx.doi.org/10.1016/j.cclet.2021.11.092</v>
      </c>
      <c r="BG612" t="s">
        <v>74</v>
      </c>
      <c r="BH612" t="s">
        <v>74</v>
      </c>
      <c r="BI612" t="s">
        <v>74</v>
      </c>
      <c r="BJ612" t="s">
        <v>3810</v>
      </c>
      <c r="BK612" t="s">
        <v>112</v>
      </c>
      <c r="BL612" t="s">
        <v>1197</v>
      </c>
      <c r="BM612" t="s">
        <v>74</v>
      </c>
      <c r="BN612" t="s">
        <v>74</v>
      </c>
      <c r="BO612" t="s">
        <v>74</v>
      </c>
      <c r="BP612" t="s">
        <v>74</v>
      </c>
      <c r="BQ612" t="s">
        <v>74</v>
      </c>
      <c r="BR612" t="s">
        <v>93</v>
      </c>
      <c r="BS612" t="s">
        <v>8726</v>
      </c>
      <c r="BT612" t="str">
        <f>HYPERLINK("https%3A%2F%2Fwww.webofscience.com%2Fwos%2Fwoscc%2Ffull-record%2FWOS:000800344000069","View Full Record in Web of Science")</f>
        <v>View Full Record in Web of Science</v>
      </c>
    </row>
    <row r="613" spans="1:72" x14ac:dyDescent="0.15">
      <c r="A613" t="s">
        <v>72</v>
      </c>
      <c r="B613" t="s">
        <v>7426</v>
      </c>
      <c r="C613" t="s">
        <v>74</v>
      </c>
      <c r="D613" t="s">
        <v>74</v>
      </c>
      <c r="E613" t="s">
        <v>74</v>
      </c>
      <c r="F613" t="s">
        <v>7427</v>
      </c>
      <c r="G613" t="s">
        <v>74</v>
      </c>
      <c r="H613" t="s">
        <v>74</v>
      </c>
      <c r="I613" t="s">
        <v>8818</v>
      </c>
      <c r="J613" t="s">
        <v>8245</v>
      </c>
      <c r="K613" t="s">
        <v>74</v>
      </c>
      <c r="L613" t="s">
        <v>74</v>
      </c>
      <c r="M613" t="s">
        <v>74</v>
      </c>
      <c r="N613" t="s">
        <v>78</v>
      </c>
      <c r="O613" t="s">
        <v>74</v>
      </c>
      <c r="P613" t="s">
        <v>74</v>
      </c>
      <c r="Q613" t="s">
        <v>74</v>
      </c>
      <c r="R613" t="s">
        <v>74</v>
      </c>
      <c r="S613" t="s">
        <v>74</v>
      </c>
      <c r="T613" t="s">
        <v>8819</v>
      </c>
      <c r="U613" t="s">
        <v>8820</v>
      </c>
      <c r="V613" t="s">
        <v>8821</v>
      </c>
      <c r="W613" t="s">
        <v>8822</v>
      </c>
      <c r="X613" t="s">
        <v>8823</v>
      </c>
      <c r="Y613" t="s">
        <v>8824</v>
      </c>
      <c r="Z613" t="s">
        <v>8825</v>
      </c>
      <c r="AA613" t="s">
        <v>74</v>
      </c>
      <c r="AB613" t="s">
        <v>74</v>
      </c>
      <c r="AC613" t="s">
        <v>74</v>
      </c>
      <c r="AD613" t="s">
        <v>74</v>
      </c>
      <c r="AE613" t="s">
        <v>74</v>
      </c>
      <c r="AF613" t="s">
        <v>74</v>
      </c>
      <c r="AG613">
        <v>45</v>
      </c>
      <c r="AH613">
        <v>2</v>
      </c>
      <c r="AI613">
        <v>2</v>
      </c>
      <c r="AJ613">
        <v>0</v>
      </c>
      <c r="AK613">
        <v>0</v>
      </c>
      <c r="AL613" t="s">
        <v>74</v>
      </c>
      <c r="AM613" t="s">
        <v>74</v>
      </c>
      <c r="AN613" t="s">
        <v>74</v>
      </c>
      <c r="AO613" t="s">
        <v>8254</v>
      </c>
      <c r="AP613" t="s">
        <v>8255</v>
      </c>
      <c r="AQ613" t="s">
        <v>74</v>
      </c>
      <c r="AR613" t="s">
        <v>74</v>
      </c>
      <c r="AS613" t="s">
        <v>74</v>
      </c>
      <c r="AT613" t="s">
        <v>108</v>
      </c>
      <c r="AU613">
        <v>2022</v>
      </c>
      <c r="AV613">
        <v>260</v>
      </c>
      <c r="AW613" t="s">
        <v>74</v>
      </c>
      <c r="AX613" t="s">
        <v>74</v>
      </c>
      <c r="AY613" t="s">
        <v>74</v>
      </c>
      <c r="AZ613" t="s">
        <v>74</v>
      </c>
      <c r="BA613" t="s">
        <v>74</v>
      </c>
      <c r="BB613">
        <v>57</v>
      </c>
      <c r="BC613">
        <v>64</v>
      </c>
      <c r="BD613" t="s">
        <v>74</v>
      </c>
      <c r="BE613" t="s">
        <v>8826</v>
      </c>
      <c r="BF613" t="str">
        <f>HYPERLINK("http://dx.doi.org/10.1016/j.cancergen.2021.07.004","http://dx.doi.org/10.1016/j.cancergen.2021.07.004")</f>
        <v>http://dx.doi.org/10.1016/j.cancergen.2021.07.004</v>
      </c>
      <c r="BG613" t="s">
        <v>74</v>
      </c>
      <c r="BH613" t="s">
        <v>74</v>
      </c>
      <c r="BI613" t="s">
        <v>74</v>
      </c>
      <c r="BJ613" t="s">
        <v>8240</v>
      </c>
      <c r="BK613" t="s">
        <v>112</v>
      </c>
      <c r="BL613" t="s">
        <v>8240</v>
      </c>
      <c r="BM613" t="s">
        <v>74</v>
      </c>
      <c r="BN613">
        <v>34426211</v>
      </c>
      <c r="BO613" t="s">
        <v>74</v>
      </c>
      <c r="BP613" t="s">
        <v>74</v>
      </c>
      <c r="BQ613" t="s">
        <v>74</v>
      </c>
      <c r="BR613" t="s">
        <v>93</v>
      </c>
      <c r="BS613" t="s">
        <v>8827</v>
      </c>
      <c r="BT613" t="str">
        <f>HYPERLINK("https%3A%2F%2Fwww.webofscience.com%2Fwos%2Fwoscc%2Ffull-record%2FWOS:000802206800005","View Full Record in Web of Science")</f>
        <v>View Full Record in Web of Science</v>
      </c>
    </row>
    <row r="614" spans="1:72" x14ac:dyDescent="0.15">
      <c r="A614" t="s">
        <v>72</v>
      </c>
      <c r="B614" t="s">
        <v>8886</v>
      </c>
      <c r="C614" t="s">
        <v>74</v>
      </c>
      <c r="D614" t="s">
        <v>74</v>
      </c>
      <c r="E614" t="s">
        <v>74</v>
      </c>
      <c r="F614" t="s">
        <v>8887</v>
      </c>
      <c r="G614" t="s">
        <v>74</v>
      </c>
      <c r="H614" t="s">
        <v>74</v>
      </c>
      <c r="I614" t="s">
        <v>8888</v>
      </c>
      <c r="J614" t="s">
        <v>151</v>
      </c>
      <c r="K614" t="s">
        <v>74</v>
      </c>
      <c r="L614" t="s">
        <v>74</v>
      </c>
      <c r="M614" t="s">
        <v>74</v>
      </c>
      <c r="N614" t="s">
        <v>78</v>
      </c>
      <c r="O614" t="s">
        <v>74</v>
      </c>
      <c r="P614" t="s">
        <v>74</v>
      </c>
      <c r="Q614" t="s">
        <v>74</v>
      </c>
      <c r="R614" t="s">
        <v>74</v>
      </c>
      <c r="S614" t="s">
        <v>74</v>
      </c>
      <c r="T614" t="s">
        <v>8889</v>
      </c>
      <c r="U614" t="s">
        <v>8890</v>
      </c>
      <c r="V614" t="s">
        <v>8891</v>
      </c>
      <c r="W614" t="s">
        <v>8892</v>
      </c>
      <c r="X614" t="s">
        <v>8893</v>
      </c>
      <c r="Y614" t="s">
        <v>8894</v>
      </c>
      <c r="Z614" t="s">
        <v>8895</v>
      </c>
      <c r="AA614" t="s">
        <v>74</v>
      </c>
      <c r="AB614" t="s">
        <v>8896</v>
      </c>
      <c r="AC614" t="s">
        <v>74</v>
      </c>
      <c r="AD614" t="s">
        <v>74</v>
      </c>
      <c r="AE614" t="s">
        <v>74</v>
      </c>
      <c r="AF614" t="s">
        <v>74</v>
      </c>
      <c r="AG614">
        <v>91</v>
      </c>
      <c r="AH614">
        <v>2</v>
      </c>
      <c r="AI614">
        <v>2</v>
      </c>
      <c r="AJ614">
        <v>4</v>
      </c>
      <c r="AK614">
        <v>4</v>
      </c>
      <c r="AL614" t="s">
        <v>74</v>
      </c>
      <c r="AM614" t="s">
        <v>74</v>
      </c>
      <c r="AN614" t="s">
        <v>74</v>
      </c>
      <c r="AO614" t="s">
        <v>74</v>
      </c>
      <c r="AP614" t="s">
        <v>160</v>
      </c>
      <c r="AQ614" t="s">
        <v>74</v>
      </c>
      <c r="AR614" t="s">
        <v>74</v>
      </c>
      <c r="AS614" t="s">
        <v>74</v>
      </c>
      <c r="AT614" t="s">
        <v>743</v>
      </c>
      <c r="AU614">
        <v>2022</v>
      </c>
      <c r="AV614">
        <v>14</v>
      </c>
      <c r="AW614">
        <v>5</v>
      </c>
      <c r="AX614" t="s">
        <v>74</v>
      </c>
      <c r="AY614" t="s">
        <v>74</v>
      </c>
      <c r="AZ614" t="s">
        <v>74</v>
      </c>
      <c r="BA614" t="s">
        <v>74</v>
      </c>
      <c r="BB614" t="s">
        <v>74</v>
      </c>
      <c r="BC614" t="s">
        <v>74</v>
      </c>
      <c r="BD614">
        <v>1139</v>
      </c>
      <c r="BE614" t="s">
        <v>8897</v>
      </c>
      <c r="BF614" t="str">
        <f>HYPERLINK("http://dx.doi.org/10.3390/cancers14051139","http://dx.doi.org/10.3390/cancers14051139")</f>
        <v>http://dx.doi.org/10.3390/cancers14051139</v>
      </c>
      <c r="BG614" t="s">
        <v>74</v>
      </c>
      <c r="BH614" t="s">
        <v>74</v>
      </c>
      <c r="BI614" t="s">
        <v>74</v>
      </c>
      <c r="BJ614" t="s">
        <v>146</v>
      </c>
      <c r="BK614" t="s">
        <v>112</v>
      </c>
      <c r="BL614" t="s">
        <v>146</v>
      </c>
      <c r="BM614" t="s">
        <v>74</v>
      </c>
      <c r="BN614">
        <v>35267452</v>
      </c>
      <c r="BO614" t="s">
        <v>74</v>
      </c>
      <c r="BP614" t="s">
        <v>74</v>
      </c>
      <c r="BQ614" t="s">
        <v>74</v>
      </c>
      <c r="BR614" t="s">
        <v>93</v>
      </c>
      <c r="BS614" t="s">
        <v>8898</v>
      </c>
      <c r="BT614" t="str">
        <f>HYPERLINK("https%3A%2F%2Fwww.webofscience.com%2Fwos%2Fwoscc%2Ffull-record%2FWOS:000775638400001","View Full Record in Web of Science")</f>
        <v>View Full Record in Web of Science</v>
      </c>
    </row>
    <row r="615" spans="1:72" x14ac:dyDescent="0.15">
      <c r="A615" t="s">
        <v>72</v>
      </c>
      <c r="B615" t="s">
        <v>9467</v>
      </c>
      <c r="C615" t="s">
        <v>74</v>
      </c>
      <c r="D615" t="s">
        <v>74</v>
      </c>
      <c r="E615" t="s">
        <v>74</v>
      </c>
      <c r="F615" t="s">
        <v>9468</v>
      </c>
      <c r="G615" t="s">
        <v>74</v>
      </c>
      <c r="H615" t="s">
        <v>74</v>
      </c>
      <c r="I615" t="s">
        <v>9469</v>
      </c>
      <c r="J615" t="s">
        <v>9470</v>
      </c>
      <c r="K615" t="s">
        <v>74</v>
      </c>
      <c r="L615" t="s">
        <v>74</v>
      </c>
      <c r="M615" t="s">
        <v>74</v>
      </c>
      <c r="N615" t="s">
        <v>78</v>
      </c>
      <c r="O615" t="s">
        <v>74</v>
      </c>
      <c r="P615" t="s">
        <v>74</v>
      </c>
      <c r="Q615" t="s">
        <v>74</v>
      </c>
      <c r="R615" t="s">
        <v>74</v>
      </c>
      <c r="S615" t="s">
        <v>74</v>
      </c>
      <c r="T615" t="s">
        <v>9471</v>
      </c>
      <c r="U615" t="s">
        <v>9472</v>
      </c>
      <c r="V615" t="s">
        <v>9473</v>
      </c>
      <c r="W615" t="s">
        <v>9474</v>
      </c>
      <c r="X615" t="s">
        <v>9475</v>
      </c>
      <c r="Y615" t="s">
        <v>9476</v>
      </c>
      <c r="Z615" t="s">
        <v>9477</v>
      </c>
      <c r="AA615" t="s">
        <v>74</v>
      </c>
      <c r="AB615" t="s">
        <v>74</v>
      </c>
      <c r="AC615" t="s">
        <v>74</v>
      </c>
      <c r="AD615" t="s">
        <v>74</v>
      </c>
      <c r="AE615" t="s">
        <v>74</v>
      </c>
      <c r="AF615" t="s">
        <v>74</v>
      </c>
      <c r="AG615">
        <v>43</v>
      </c>
      <c r="AH615">
        <v>2</v>
      </c>
      <c r="AI615">
        <v>2</v>
      </c>
      <c r="AJ615">
        <v>6</v>
      </c>
      <c r="AK615">
        <v>6</v>
      </c>
      <c r="AL615" t="s">
        <v>74</v>
      </c>
      <c r="AM615" t="s">
        <v>74</v>
      </c>
      <c r="AN615" t="s">
        <v>74</v>
      </c>
      <c r="AO615" t="s">
        <v>74</v>
      </c>
      <c r="AP615" t="s">
        <v>9478</v>
      </c>
      <c r="AQ615" t="s">
        <v>74</v>
      </c>
      <c r="AR615" t="s">
        <v>74</v>
      </c>
      <c r="AS615" t="s">
        <v>74</v>
      </c>
      <c r="AT615" t="s">
        <v>74</v>
      </c>
      <c r="AU615">
        <v>2021</v>
      </c>
      <c r="AV615">
        <v>14</v>
      </c>
      <c r="AW615" t="s">
        <v>74</v>
      </c>
      <c r="AX615" t="s">
        <v>74</v>
      </c>
      <c r="AY615" t="s">
        <v>74</v>
      </c>
      <c r="AZ615" t="s">
        <v>74</v>
      </c>
      <c r="BA615" t="s">
        <v>74</v>
      </c>
      <c r="BB615">
        <v>5489</v>
      </c>
      <c r="BC615">
        <v>5500</v>
      </c>
      <c r="BD615" t="s">
        <v>74</v>
      </c>
      <c r="BE615" t="s">
        <v>9479</v>
      </c>
      <c r="BF615" t="str">
        <f>HYPERLINK("http://dx.doi.org/10.2147/JIR.S315716","http://dx.doi.org/10.2147/JIR.S315716")</f>
        <v>http://dx.doi.org/10.2147/JIR.S315716</v>
      </c>
      <c r="BG615" t="s">
        <v>74</v>
      </c>
      <c r="BH615" t="s">
        <v>74</v>
      </c>
      <c r="BI615" t="s">
        <v>74</v>
      </c>
      <c r="BJ615" t="s">
        <v>2276</v>
      </c>
      <c r="BK615" t="s">
        <v>112</v>
      </c>
      <c r="BL615" t="s">
        <v>2276</v>
      </c>
      <c r="BM615" t="s">
        <v>74</v>
      </c>
      <c r="BN615">
        <v>34720597</v>
      </c>
      <c r="BO615" t="s">
        <v>74</v>
      </c>
      <c r="BP615" t="s">
        <v>74</v>
      </c>
      <c r="BQ615" t="s">
        <v>74</v>
      </c>
      <c r="BR615" t="s">
        <v>93</v>
      </c>
      <c r="BS615" t="s">
        <v>9480</v>
      </c>
      <c r="BT615" t="str">
        <f>HYPERLINK("https%3A%2F%2Fwww.webofscience.com%2Fwos%2Fwoscc%2Ffull-record%2FWOS:000711051500005","View Full Record in Web of Science")</f>
        <v>View Full Record in Web of Science</v>
      </c>
    </row>
    <row r="616" spans="1:72" x14ac:dyDescent="0.15">
      <c r="A616" t="s">
        <v>72</v>
      </c>
      <c r="B616" t="s">
        <v>9693</v>
      </c>
      <c r="C616" t="s">
        <v>74</v>
      </c>
      <c r="D616" t="s">
        <v>74</v>
      </c>
      <c r="E616" t="s">
        <v>74</v>
      </c>
      <c r="F616" t="s">
        <v>9694</v>
      </c>
      <c r="G616" t="s">
        <v>74</v>
      </c>
      <c r="H616" t="s">
        <v>74</v>
      </c>
      <c r="I616" t="s">
        <v>9695</v>
      </c>
      <c r="J616" t="s">
        <v>9696</v>
      </c>
      <c r="K616" t="s">
        <v>74</v>
      </c>
      <c r="L616" t="s">
        <v>74</v>
      </c>
      <c r="M616" t="s">
        <v>74</v>
      </c>
      <c r="N616" t="s">
        <v>78</v>
      </c>
      <c r="O616" t="s">
        <v>74</v>
      </c>
      <c r="P616" t="s">
        <v>74</v>
      </c>
      <c r="Q616" t="s">
        <v>74</v>
      </c>
      <c r="R616" t="s">
        <v>74</v>
      </c>
      <c r="S616" t="s">
        <v>74</v>
      </c>
      <c r="T616" t="s">
        <v>9697</v>
      </c>
      <c r="U616" t="s">
        <v>74</v>
      </c>
      <c r="V616" t="s">
        <v>9698</v>
      </c>
      <c r="W616" t="s">
        <v>9699</v>
      </c>
      <c r="X616" t="s">
        <v>9700</v>
      </c>
      <c r="Y616" t="s">
        <v>9701</v>
      </c>
      <c r="Z616" t="s">
        <v>9702</v>
      </c>
      <c r="AA616" t="s">
        <v>9703</v>
      </c>
      <c r="AB616" t="s">
        <v>9704</v>
      </c>
      <c r="AC616" t="s">
        <v>74</v>
      </c>
      <c r="AD616" t="s">
        <v>74</v>
      </c>
      <c r="AE616" t="s">
        <v>74</v>
      </c>
      <c r="AF616" t="s">
        <v>74</v>
      </c>
      <c r="AG616">
        <v>12</v>
      </c>
      <c r="AH616">
        <v>2</v>
      </c>
      <c r="AI616">
        <v>2</v>
      </c>
      <c r="AJ616">
        <v>0</v>
      </c>
      <c r="AK616">
        <v>1</v>
      </c>
      <c r="AL616" t="s">
        <v>74</v>
      </c>
      <c r="AM616" t="s">
        <v>74</v>
      </c>
      <c r="AN616" t="s">
        <v>74</v>
      </c>
      <c r="AO616" t="s">
        <v>9705</v>
      </c>
      <c r="AP616" t="s">
        <v>9706</v>
      </c>
      <c r="AQ616" t="s">
        <v>74</v>
      </c>
      <c r="AR616" t="s">
        <v>74</v>
      </c>
      <c r="AS616" t="s">
        <v>74</v>
      </c>
      <c r="AT616" t="s">
        <v>503</v>
      </c>
      <c r="AU616">
        <v>2021</v>
      </c>
      <c r="AV616">
        <v>11</v>
      </c>
      <c r="AW616">
        <v>3</v>
      </c>
      <c r="AX616" t="s">
        <v>74</v>
      </c>
      <c r="AY616" t="s">
        <v>74</v>
      </c>
      <c r="AZ616" t="s">
        <v>74</v>
      </c>
      <c r="BA616" t="s">
        <v>74</v>
      </c>
      <c r="BB616" t="s">
        <v>74</v>
      </c>
      <c r="BC616" t="s">
        <v>74</v>
      </c>
      <c r="BD616" t="s">
        <v>9707</v>
      </c>
      <c r="BE616" t="s">
        <v>9708</v>
      </c>
      <c r="BF616" t="str">
        <f>HYPERLINK("http://dx.doi.org/10.5415/apallergy.2021.11.e28","http://dx.doi.org/10.5415/apallergy.2021.11.e28")</f>
        <v>http://dx.doi.org/10.5415/apallergy.2021.11.e28</v>
      </c>
      <c r="BG616" t="s">
        <v>74</v>
      </c>
      <c r="BH616" t="s">
        <v>74</v>
      </c>
      <c r="BI616" t="s">
        <v>74</v>
      </c>
      <c r="BJ616" t="s">
        <v>9709</v>
      </c>
      <c r="BK616" t="s">
        <v>91</v>
      </c>
      <c r="BL616" t="s">
        <v>9709</v>
      </c>
      <c r="BM616" t="s">
        <v>74</v>
      </c>
      <c r="BN616">
        <v>34386404</v>
      </c>
      <c r="BO616" t="s">
        <v>74</v>
      </c>
      <c r="BP616" t="s">
        <v>74</v>
      </c>
      <c r="BQ616" t="s">
        <v>74</v>
      </c>
      <c r="BR616" t="s">
        <v>93</v>
      </c>
      <c r="BS616" t="s">
        <v>9710</v>
      </c>
      <c r="BT616" t="str">
        <f>HYPERLINK("https%3A%2F%2Fwww.webofscience.com%2Fwos%2Fwoscc%2Ffull-record%2FWOS:000680842600002","View Full Record in Web of Science")</f>
        <v>View Full Record in Web of Science</v>
      </c>
    </row>
    <row r="617" spans="1:72" x14ac:dyDescent="0.15">
      <c r="A617" t="s">
        <v>72</v>
      </c>
      <c r="B617" t="s">
        <v>9711</v>
      </c>
      <c r="C617" t="s">
        <v>74</v>
      </c>
      <c r="D617" t="s">
        <v>74</v>
      </c>
      <c r="E617" t="s">
        <v>74</v>
      </c>
      <c r="F617" t="s">
        <v>9712</v>
      </c>
      <c r="G617" t="s">
        <v>74</v>
      </c>
      <c r="H617" t="s">
        <v>74</v>
      </c>
      <c r="I617" t="s">
        <v>9713</v>
      </c>
      <c r="J617" t="s">
        <v>9714</v>
      </c>
      <c r="K617" t="s">
        <v>74</v>
      </c>
      <c r="L617" t="s">
        <v>74</v>
      </c>
      <c r="M617" t="s">
        <v>74</v>
      </c>
      <c r="N617" t="s">
        <v>78</v>
      </c>
      <c r="O617" t="s">
        <v>74</v>
      </c>
      <c r="P617" t="s">
        <v>74</v>
      </c>
      <c r="Q617" t="s">
        <v>74</v>
      </c>
      <c r="R617" t="s">
        <v>74</v>
      </c>
      <c r="S617" t="s">
        <v>74</v>
      </c>
      <c r="T617" t="s">
        <v>9715</v>
      </c>
      <c r="U617" t="s">
        <v>9716</v>
      </c>
      <c r="V617" t="s">
        <v>9717</v>
      </c>
      <c r="W617" t="s">
        <v>9718</v>
      </c>
      <c r="X617" t="s">
        <v>9719</v>
      </c>
      <c r="Y617" t="s">
        <v>9720</v>
      </c>
      <c r="Z617" t="s">
        <v>9721</v>
      </c>
      <c r="AA617" t="s">
        <v>74</v>
      </c>
      <c r="AB617" t="s">
        <v>9722</v>
      </c>
      <c r="AC617" t="s">
        <v>74</v>
      </c>
      <c r="AD617" t="s">
        <v>74</v>
      </c>
      <c r="AE617" t="s">
        <v>74</v>
      </c>
      <c r="AF617" t="s">
        <v>74</v>
      </c>
      <c r="AG617">
        <v>46</v>
      </c>
      <c r="AH617">
        <v>2</v>
      </c>
      <c r="AI617">
        <v>2</v>
      </c>
      <c r="AJ617">
        <v>1</v>
      </c>
      <c r="AK617">
        <v>4</v>
      </c>
      <c r="AL617" t="s">
        <v>74</v>
      </c>
      <c r="AM617" t="s">
        <v>74</v>
      </c>
      <c r="AN617" t="s">
        <v>74</v>
      </c>
      <c r="AO617" t="s">
        <v>9723</v>
      </c>
      <c r="AP617" t="s">
        <v>74</v>
      </c>
      <c r="AQ617" t="s">
        <v>74</v>
      </c>
      <c r="AR617" t="s">
        <v>74</v>
      </c>
      <c r="AS617" t="s">
        <v>74</v>
      </c>
      <c r="AT617" t="s">
        <v>9724</v>
      </c>
      <c r="AU617">
        <v>2021</v>
      </c>
      <c r="AV617">
        <v>15</v>
      </c>
      <c r="AW617" t="s">
        <v>74</v>
      </c>
      <c r="AX617" t="s">
        <v>74</v>
      </c>
      <c r="AY617" t="s">
        <v>74</v>
      </c>
      <c r="AZ617" t="s">
        <v>74</v>
      </c>
      <c r="BA617" t="s">
        <v>74</v>
      </c>
      <c r="BB617" t="s">
        <v>74</v>
      </c>
      <c r="BC617" t="s">
        <v>74</v>
      </c>
      <c r="BD617">
        <v>661065</v>
      </c>
      <c r="BE617" t="s">
        <v>9725</v>
      </c>
      <c r="BF617" t="str">
        <f>HYPERLINK("http://dx.doi.org/10.3389/fnana.2021.661065","http://dx.doi.org/10.3389/fnana.2021.661065")</f>
        <v>http://dx.doi.org/10.3389/fnana.2021.661065</v>
      </c>
      <c r="BG617" t="s">
        <v>74</v>
      </c>
      <c r="BH617" t="s">
        <v>74</v>
      </c>
      <c r="BI617" t="s">
        <v>74</v>
      </c>
      <c r="BJ617" t="s">
        <v>9726</v>
      </c>
      <c r="BK617" t="s">
        <v>112</v>
      </c>
      <c r="BL617" t="s">
        <v>9727</v>
      </c>
      <c r="BM617" t="s">
        <v>74</v>
      </c>
      <c r="BN617">
        <v>34248507</v>
      </c>
      <c r="BO617" t="s">
        <v>74</v>
      </c>
      <c r="BP617" t="s">
        <v>74</v>
      </c>
      <c r="BQ617" t="s">
        <v>74</v>
      </c>
      <c r="BR617" t="s">
        <v>93</v>
      </c>
      <c r="BS617" t="s">
        <v>9728</v>
      </c>
      <c r="BT617" t="str">
        <f>HYPERLINK("https%3A%2F%2Fwww.webofscience.com%2Fwos%2Fwoscc%2Ffull-record%2FWOS:000670983400001","View Full Record in Web of Science")</f>
        <v>View Full Record in Web of Science</v>
      </c>
    </row>
    <row r="618" spans="1:72" x14ac:dyDescent="0.15">
      <c r="A618" t="s">
        <v>72</v>
      </c>
      <c r="B618" t="s">
        <v>10592</v>
      </c>
      <c r="C618" t="s">
        <v>74</v>
      </c>
      <c r="D618" t="s">
        <v>74</v>
      </c>
      <c r="E618" t="s">
        <v>74</v>
      </c>
      <c r="F618" t="s">
        <v>10593</v>
      </c>
      <c r="G618" t="s">
        <v>74</v>
      </c>
      <c r="H618" t="s">
        <v>74</v>
      </c>
      <c r="I618" t="s">
        <v>10594</v>
      </c>
      <c r="J618" t="s">
        <v>992</v>
      </c>
      <c r="K618" t="s">
        <v>74</v>
      </c>
      <c r="L618" t="s">
        <v>74</v>
      </c>
      <c r="M618" t="s">
        <v>74</v>
      </c>
      <c r="N618" t="s">
        <v>78</v>
      </c>
      <c r="O618" t="s">
        <v>74</v>
      </c>
      <c r="P618" t="s">
        <v>74</v>
      </c>
      <c r="Q618" t="s">
        <v>74</v>
      </c>
      <c r="R618" t="s">
        <v>74</v>
      </c>
      <c r="S618" t="s">
        <v>74</v>
      </c>
      <c r="T618" t="s">
        <v>10595</v>
      </c>
      <c r="U618" t="s">
        <v>10596</v>
      </c>
      <c r="V618" t="s">
        <v>10597</v>
      </c>
      <c r="W618" t="s">
        <v>10598</v>
      </c>
      <c r="X618" t="s">
        <v>10599</v>
      </c>
      <c r="Y618" t="s">
        <v>10600</v>
      </c>
      <c r="Z618" t="s">
        <v>9007</v>
      </c>
      <c r="AA618" t="s">
        <v>74</v>
      </c>
      <c r="AB618" t="s">
        <v>74</v>
      </c>
      <c r="AC618" t="s">
        <v>74</v>
      </c>
      <c r="AD618" t="s">
        <v>74</v>
      </c>
      <c r="AE618" t="s">
        <v>74</v>
      </c>
      <c r="AF618" t="s">
        <v>74</v>
      </c>
      <c r="AG618">
        <v>87</v>
      </c>
      <c r="AH618">
        <v>2</v>
      </c>
      <c r="AI618">
        <v>2</v>
      </c>
      <c r="AJ618">
        <v>63</v>
      </c>
      <c r="AK618">
        <v>63</v>
      </c>
      <c r="AL618" t="s">
        <v>74</v>
      </c>
      <c r="AM618" t="s">
        <v>74</v>
      </c>
      <c r="AN618" t="s">
        <v>74</v>
      </c>
      <c r="AO618" t="s">
        <v>1001</v>
      </c>
      <c r="AP618" t="s">
        <v>1002</v>
      </c>
      <c r="AQ618" t="s">
        <v>74</v>
      </c>
      <c r="AR618" t="s">
        <v>74</v>
      </c>
      <c r="AS618" t="s">
        <v>74</v>
      </c>
      <c r="AT618" t="s">
        <v>5208</v>
      </c>
      <c r="AU618">
        <v>2022</v>
      </c>
      <c r="AV618">
        <v>205</v>
      </c>
      <c r="AW618" t="s">
        <v>74</v>
      </c>
      <c r="AX618" t="s">
        <v>74</v>
      </c>
      <c r="AY618" t="s">
        <v>74</v>
      </c>
      <c r="AZ618" t="s">
        <v>74</v>
      </c>
      <c r="BA618" t="s">
        <v>74</v>
      </c>
      <c r="BB618" t="s">
        <v>74</v>
      </c>
      <c r="BC618" t="s">
        <v>74</v>
      </c>
      <c r="BD618">
        <v>114116</v>
      </c>
      <c r="BE618" t="s">
        <v>10601</v>
      </c>
      <c r="BF618" t="str">
        <f>HYPERLINK("http://dx.doi.org/10.1016/j.bios.2022.114116","http://dx.doi.org/10.1016/j.bios.2022.114116")</f>
        <v>http://dx.doi.org/10.1016/j.bios.2022.114116</v>
      </c>
      <c r="BG618" t="s">
        <v>74</v>
      </c>
      <c r="BH618" t="s">
        <v>74</v>
      </c>
      <c r="BI618" t="s">
        <v>74</v>
      </c>
      <c r="BJ618" t="s">
        <v>1006</v>
      </c>
      <c r="BK618" t="s">
        <v>112</v>
      </c>
      <c r="BL618" t="s">
        <v>1007</v>
      </c>
      <c r="BM618" t="s">
        <v>74</v>
      </c>
      <c r="BN618">
        <v>35235898</v>
      </c>
      <c r="BO618" t="s">
        <v>74</v>
      </c>
      <c r="BP618" t="s">
        <v>74</v>
      </c>
      <c r="BQ618" t="s">
        <v>74</v>
      </c>
      <c r="BR618" t="s">
        <v>93</v>
      </c>
      <c r="BS618" t="s">
        <v>10602</v>
      </c>
      <c r="BT618" t="str">
        <f>HYPERLINK("https%3A%2F%2Fwww.webofscience.com%2Fwos%2Fwoscc%2Ffull-record%2FWOS:000820291000007","View Full Record in Web of Science")</f>
        <v>View Full Record in Web of Science</v>
      </c>
    </row>
    <row r="619" spans="1:72" x14ac:dyDescent="0.15">
      <c r="A619" t="s">
        <v>72</v>
      </c>
      <c r="B619" t="s">
        <v>11023</v>
      </c>
      <c r="C619" t="s">
        <v>74</v>
      </c>
      <c r="D619" t="s">
        <v>74</v>
      </c>
      <c r="E619" t="s">
        <v>74</v>
      </c>
      <c r="F619" t="s">
        <v>11024</v>
      </c>
      <c r="G619" t="s">
        <v>74</v>
      </c>
      <c r="H619" t="s">
        <v>74</v>
      </c>
      <c r="I619" t="s">
        <v>11025</v>
      </c>
      <c r="J619" t="s">
        <v>6841</v>
      </c>
      <c r="K619" t="s">
        <v>74</v>
      </c>
      <c r="L619" t="s">
        <v>74</v>
      </c>
      <c r="M619" t="s">
        <v>74</v>
      </c>
      <c r="N619" t="s">
        <v>78</v>
      </c>
      <c r="O619" t="s">
        <v>74</v>
      </c>
      <c r="P619" t="s">
        <v>74</v>
      </c>
      <c r="Q619" t="s">
        <v>74</v>
      </c>
      <c r="R619" t="s">
        <v>74</v>
      </c>
      <c r="S619" t="s">
        <v>74</v>
      </c>
      <c r="T619" t="s">
        <v>74</v>
      </c>
      <c r="U619" t="s">
        <v>11026</v>
      </c>
      <c r="V619" t="s">
        <v>11027</v>
      </c>
      <c r="W619" t="s">
        <v>11028</v>
      </c>
      <c r="X619" t="s">
        <v>11029</v>
      </c>
      <c r="Y619" t="s">
        <v>11030</v>
      </c>
      <c r="Z619" t="s">
        <v>11031</v>
      </c>
      <c r="AA619" t="s">
        <v>11032</v>
      </c>
      <c r="AB619" t="s">
        <v>11033</v>
      </c>
      <c r="AC619" t="s">
        <v>74</v>
      </c>
      <c r="AD619" t="s">
        <v>74</v>
      </c>
      <c r="AE619" t="s">
        <v>74</v>
      </c>
      <c r="AF619" t="s">
        <v>74</v>
      </c>
      <c r="AG619">
        <v>102</v>
      </c>
      <c r="AH619">
        <v>2</v>
      </c>
      <c r="AI619">
        <v>2</v>
      </c>
      <c r="AJ619">
        <v>8</v>
      </c>
      <c r="AK619">
        <v>11</v>
      </c>
      <c r="AL619" t="s">
        <v>74</v>
      </c>
      <c r="AM619" t="s">
        <v>74</v>
      </c>
      <c r="AN619" t="s">
        <v>74</v>
      </c>
      <c r="AO619" t="s">
        <v>6846</v>
      </c>
      <c r="AP619" t="s">
        <v>6847</v>
      </c>
      <c r="AQ619" t="s">
        <v>74</v>
      </c>
      <c r="AR619" t="s">
        <v>74</v>
      </c>
      <c r="AS619" t="s">
        <v>74</v>
      </c>
      <c r="AT619" t="s">
        <v>11034</v>
      </c>
      <c r="AU619">
        <v>2021</v>
      </c>
      <c r="AV619">
        <v>57</v>
      </c>
      <c r="AW619">
        <v>98</v>
      </c>
      <c r="AX619" t="s">
        <v>74</v>
      </c>
      <c r="AY619" t="s">
        <v>74</v>
      </c>
      <c r="AZ619" t="s">
        <v>74</v>
      </c>
      <c r="BA619" t="s">
        <v>74</v>
      </c>
      <c r="BB619">
        <v>13234</v>
      </c>
      <c r="BC619">
        <v>13245</v>
      </c>
      <c r="BD619" t="s">
        <v>74</v>
      </c>
      <c r="BE619" t="s">
        <v>11035</v>
      </c>
      <c r="BF619" t="str">
        <f>HYPERLINK("http://dx.doi.org/10.1039/d1cc05096f","http://dx.doi.org/10.1039/d1cc05096f")</f>
        <v>http://dx.doi.org/10.1039/d1cc05096f</v>
      </c>
      <c r="BG619" t="s">
        <v>74</v>
      </c>
      <c r="BH619" t="s">
        <v>820</v>
      </c>
      <c r="BI619" t="s">
        <v>74</v>
      </c>
      <c r="BJ619" t="s">
        <v>3810</v>
      </c>
      <c r="BK619" t="s">
        <v>112</v>
      </c>
      <c r="BL619" t="s">
        <v>1197</v>
      </c>
      <c r="BM619" t="s">
        <v>74</v>
      </c>
      <c r="BN619">
        <v>34825908</v>
      </c>
      <c r="BO619" t="s">
        <v>74</v>
      </c>
      <c r="BP619" t="s">
        <v>74</v>
      </c>
      <c r="BQ619" t="s">
        <v>74</v>
      </c>
      <c r="BR619" t="s">
        <v>93</v>
      </c>
      <c r="BS619" t="s">
        <v>11036</v>
      </c>
      <c r="BT619" t="str">
        <f>HYPERLINK("https%3A%2F%2Fwww.webofscience.com%2Fwos%2Fwoscc%2Ffull-record%2FWOS:000722707600001","View Full Record in Web of Science")</f>
        <v>View Full Record in Web of Science</v>
      </c>
    </row>
    <row r="620" spans="1:72" x14ac:dyDescent="0.15">
      <c r="A620" t="s">
        <v>72</v>
      </c>
      <c r="B620" t="s">
        <v>787</v>
      </c>
      <c r="C620" t="s">
        <v>74</v>
      </c>
      <c r="D620" t="s">
        <v>74</v>
      </c>
      <c r="E620" t="s">
        <v>74</v>
      </c>
      <c r="F620" t="s">
        <v>788</v>
      </c>
      <c r="G620" t="s">
        <v>74</v>
      </c>
      <c r="H620" t="s">
        <v>74</v>
      </c>
      <c r="I620" t="s">
        <v>789</v>
      </c>
      <c r="J620" t="s">
        <v>790</v>
      </c>
      <c r="K620" t="s">
        <v>74</v>
      </c>
      <c r="L620" t="s">
        <v>74</v>
      </c>
      <c r="M620" t="s">
        <v>74</v>
      </c>
      <c r="N620" t="s">
        <v>78</v>
      </c>
      <c r="O620" t="s">
        <v>74</v>
      </c>
      <c r="P620" t="s">
        <v>74</v>
      </c>
      <c r="Q620" t="s">
        <v>74</v>
      </c>
      <c r="R620" t="s">
        <v>74</v>
      </c>
      <c r="S620" t="s">
        <v>74</v>
      </c>
      <c r="T620" t="s">
        <v>791</v>
      </c>
      <c r="U620" t="s">
        <v>792</v>
      </c>
      <c r="V620" t="s">
        <v>793</v>
      </c>
      <c r="W620" t="s">
        <v>794</v>
      </c>
      <c r="X620" t="s">
        <v>795</v>
      </c>
      <c r="Y620" t="s">
        <v>796</v>
      </c>
      <c r="Z620" t="s">
        <v>797</v>
      </c>
      <c r="AA620" t="s">
        <v>798</v>
      </c>
      <c r="AB620" t="s">
        <v>799</v>
      </c>
      <c r="AC620" t="s">
        <v>74</v>
      </c>
      <c r="AD620" t="s">
        <v>74</v>
      </c>
      <c r="AE620" t="s">
        <v>74</v>
      </c>
      <c r="AF620" t="s">
        <v>74</v>
      </c>
      <c r="AG620">
        <v>54</v>
      </c>
      <c r="AH620">
        <v>1</v>
      </c>
      <c r="AI620">
        <v>1</v>
      </c>
      <c r="AJ620">
        <v>2</v>
      </c>
      <c r="AK620">
        <v>2</v>
      </c>
      <c r="AL620" t="s">
        <v>74</v>
      </c>
      <c r="AM620" t="s">
        <v>74</v>
      </c>
      <c r="AN620" t="s">
        <v>74</v>
      </c>
      <c r="AO620" t="s">
        <v>74</v>
      </c>
      <c r="AP620" t="s">
        <v>800</v>
      </c>
      <c r="AQ620" t="s">
        <v>74</v>
      </c>
      <c r="AR620" t="s">
        <v>74</v>
      </c>
      <c r="AS620" t="s">
        <v>74</v>
      </c>
      <c r="AT620" t="s">
        <v>129</v>
      </c>
      <c r="AU620">
        <v>2022</v>
      </c>
      <c r="AV620">
        <v>12</v>
      </c>
      <c r="AW620">
        <v>4</v>
      </c>
      <c r="AX620" t="s">
        <v>74</v>
      </c>
      <c r="AY620" t="s">
        <v>74</v>
      </c>
      <c r="AZ620" t="s">
        <v>74</v>
      </c>
      <c r="BA620" t="s">
        <v>74</v>
      </c>
      <c r="BB620" t="s">
        <v>74</v>
      </c>
      <c r="BC620" t="s">
        <v>74</v>
      </c>
      <c r="BD620">
        <v>854</v>
      </c>
      <c r="BE620" t="s">
        <v>801</v>
      </c>
      <c r="BF620" t="str">
        <f>HYPERLINK("http://dx.doi.org/10.3390/diagnostics12040854","http://dx.doi.org/10.3390/diagnostics12040854")</f>
        <v>http://dx.doi.org/10.3390/diagnostics12040854</v>
      </c>
      <c r="BG620" t="s">
        <v>74</v>
      </c>
      <c r="BH620" t="s">
        <v>74</v>
      </c>
      <c r="BI620" t="s">
        <v>74</v>
      </c>
      <c r="BJ620" t="s">
        <v>802</v>
      </c>
      <c r="BK620" t="s">
        <v>112</v>
      </c>
      <c r="BL620" t="s">
        <v>803</v>
      </c>
      <c r="BM620" t="s">
        <v>74</v>
      </c>
      <c r="BN620">
        <v>35453902</v>
      </c>
      <c r="BO620" t="s">
        <v>74</v>
      </c>
      <c r="BP620" t="s">
        <v>74</v>
      </c>
      <c r="BQ620" t="s">
        <v>74</v>
      </c>
      <c r="BR620" t="s">
        <v>93</v>
      </c>
      <c r="BS620" t="s">
        <v>804</v>
      </c>
      <c r="BT620" t="str">
        <f>HYPERLINK("https%3A%2F%2Fwww.webofscience.com%2Fwos%2Fwoscc%2Ffull-record%2FWOS:000785521400001","View Full Record in Web of Science")</f>
        <v>View Full Record in Web of Science</v>
      </c>
    </row>
    <row r="621" spans="1:72" x14ac:dyDescent="0.15">
      <c r="A621" t="s">
        <v>72</v>
      </c>
      <c r="B621" t="s">
        <v>906</v>
      </c>
      <c r="C621" t="s">
        <v>74</v>
      </c>
      <c r="D621" t="s">
        <v>74</v>
      </c>
      <c r="E621" t="s">
        <v>74</v>
      </c>
      <c r="F621" t="s">
        <v>907</v>
      </c>
      <c r="G621" t="s">
        <v>74</v>
      </c>
      <c r="H621" t="s">
        <v>74</v>
      </c>
      <c r="I621" t="s">
        <v>908</v>
      </c>
      <c r="J621" t="s">
        <v>909</v>
      </c>
      <c r="K621" t="s">
        <v>74</v>
      </c>
      <c r="L621" t="s">
        <v>74</v>
      </c>
      <c r="M621" t="s">
        <v>74</v>
      </c>
      <c r="N621" t="s">
        <v>78</v>
      </c>
      <c r="O621" t="s">
        <v>74</v>
      </c>
      <c r="P621" t="s">
        <v>74</v>
      </c>
      <c r="Q621" t="s">
        <v>74</v>
      </c>
      <c r="R621" t="s">
        <v>74</v>
      </c>
      <c r="S621" t="s">
        <v>74</v>
      </c>
      <c r="T621" t="s">
        <v>910</v>
      </c>
      <c r="U621" t="s">
        <v>911</v>
      </c>
      <c r="V621" t="s">
        <v>912</v>
      </c>
      <c r="W621" t="s">
        <v>913</v>
      </c>
      <c r="X621" t="s">
        <v>914</v>
      </c>
      <c r="Y621" t="s">
        <v>915</v>
      </c>
      <c r="Z621" t="s">
        <v>916</v>
      </c>
      <c r="AA621" t="s">
        <v>74</v>
      </c>
      <c r="AB621" t="s">
        <v>917</v>
      </c>
      <c r="AC621" t="s">
        <v>74</v>
      </c>
      <c r="AD621" t="s">
        <v>74</v>
      </c>
      <c r="AE621" t="s">
        <v>74</v>
      </c>
      <c r="AF621" t="s">
        <v>74</v>
      </c>
      <c r="AG621">
        <v>34</v>
      </c>
      <c r="AH621">
        <v>1</v>
      </c>
      <c r="AI621">
        <v>1</v>
      </c>
      <c r="AJ621">
        <v>0</v>
      </c>
      <c r="AK621">
        <v>9</v>
      </c>
      <c r="AL621" t="s">
        <v>74</v>
      </c>
      <c r="AM621" t="s">
        <v>74</v>
      </c>
      <c r="AN621" t="s">
        <v>74</v>
      </c>
      <c r="AO621" t="s">
        <v>918</v>
      </c>
      <c r="AP621" t="s">
        <v>919</v>
      </c>
      <c r="AQ621" t="s">
        <v>74</v>
      </c>
      <c r="AR621" t="s">
        <v>74</v>
      </c>
      <c r="AS621" t="s">
        <v>74</v>
      </c>
      <c r="AT621" t="s">
        <v>920</v>
      </c>
      <c r="AU621">
        <v>2020</v>
      </c>
      <c r="AV621">
        <v>18</v>
      </c>
      <c r="AW621">
        <v>5</v>
      </c>
      <c r="AX621" t="s">
        <v>74</v>
      </c>
      <c r="AY621" t="s">
        <v>74</v>
      </c>
      <c r="AZ621" t="s">
        <v>74</v>
      </c>
      <c r="BA621" t="s">
        <v>74</v>
      </c>
      <c r="BB621">
        <v>462</v>
      </c>
      <c r="BC621">
        <v>470</v>
      </c>
      <c r="BD621" t="s">
        <v>74</v>
      </c>
      <c r="BE621" t="s">
        <v>921</v>
      </c>
      <c r="BF621" t="str">
        <f>HYPERLINK("http://dx.doi.org/10.1089/bio.2020.0060","http://dx.doi.org/10.1089/bio.2020.0060")</f>
        <v>http://dx.doi.org/10.1089/bio.2020.0060</v>
      </c>
      <c r="BG621" t="s">
        <v>74</v>
      </c>
      <c r="BH621" t="s">
        <v>922</v>
      </c>
      <c r="BI621" t="s">
        <v>74</v>
      </c>
      <c r="BJ621" t="s">
        <v>923</v>
      </c>
      <c r="BK621" t="s">
        <v>112</v>
      </c>
      <c r="BL621" t="s">
        <v>924</v>
      </c>
      <c r="BM621" t="s">
        <v>74</v>
      </c>
      <c r="BN621">
        <v>32856938</v>
      </c>
      <c r="BO621" t="s">
        <v>74</v>
      </c>
      <c r="BP621" t="s">
        <v>74</v>
      </c>
      <c r="BQ621" t="s">
        <v>74</v>
      </c>
      <c r="BR621" t="s">
        <v>93</v>
      </c>
      <c r="BS621" t="s">
        <v>925</v>
      </c>
      <c r="BT621" t="str">
        <f>HYPERLINK("https%3A%2F%2Fwww.webofscience.com%2Fwos%2Fwoscc%2Ffull-record%2FWOS:000566067300001","View Full Record in Web of Science")</f>
        <v>View Full Record in Web of Science</v>
      </c>
    </row>
    <row r="622" spans="1:72" x14ac:dyDescent="0.15">
      <c r="A622" t="s">
        <v>72</v>
      </c>
      <c r="B622" t="s">
        <v>1229</v>
      </c>
      <c r="C622" t="s">
        <v>74</v>
      </c>
      <c r="D622" t="s">
        <v>74</v>
      </c>
      <c r="E622" t="s">
        <v>74</v>
      </c>
      <c r="F622" t="s">
        <v>1230</v>
      </c>
      <c r="G622" t="s">
        <v>74</v>
      </c>
      <c r="H622" t="s">
        <v>74</v>
      </c>
      <c r="I622" t="s">
        <v>1231</v>
      </c>
      <c r="J622" t="s">
        <v>262</v>
      </c>
      <c r="K622" t="s">
        <v>74</v>
      </c>
      <c r="L622" t="s">
        <v>74</v>
      </c>
      <c r="M622" t="s">
        <v>74</v>
      </c>
      <c r="N622" t="s">
        <v>78</v>
      </c>
      <c r="O622" t="s">
        <v>74</v>
      </c>
      <c r="P622" t="s">
        <v>74</v>
      </c>
      <c r="Q622" t="s">
        <v>74</v>
      </c>
      <c r="R622" t="s">
        <v>74</v>
      </c>
      <c r="S622" t="s">
        <v>74</v>
      </c>
      <c r="T622" t="s">
        <v>1232</v>
      </c>
      <c r="U622" t="s">
        <v>1233</v>
      </c>
      <c r="V622" t="s">
        <v>1234</v>
      </c>
      <c r="W622" t="s">
        <v>1235</v>
      </c>
      <c r="X622" t="s">
        <v>1236</v>
      </c>
      <c r="Y622" t="s">
        <v>1237</v>
      </c>
      <c r="Z622" t="s">
        <v>1238</v>
      </c>
      <c r="AA622" t="s">
        <v>74</v>
      </c>
      <c r="AB622" t="s">
        <v>1239</v>
      </c>
      <c r="AC622" t="s">
        <v>74</v>
      </c>
      <c r="AD622" t="s">
        <v>74</v>
      </c>
      <c r="AE622" t="s">
        <v>74</v>
      </c>
      <c r="AF622" t="s">
        <v>74</v>
      </c>
      <c r="AG622">
        <v>74</v>
      </c>
      <c r="AH622">
        <v>1</v>
      </c>
      <c r="AI622">
        <v>1</v>
      </c>
      <c r="AJ622">
        <v>3</v>
      </c>
      <c r="AK622">
        <v>3</v>
      </c>
      <c r="AL622" t="s">
        <v>74</v>
      </c>
      <c r="AM622" t="s">
        <v>74</v>
      </c>
      <c r="AN622" t="s">
        <v>74</v>
      </c>
      <c r="AO622" t="s">
        <v>270</v>
      </c>
      <c r="AP622" t="s">
        <v>74</v>
      </c>
      <c r="AQ622" t="s">
        <v>74</v>
      </c>
      <c r="AR622" t="s">
        <v>74</v>
      </c>
      <c r="AS622" t="s">
        <v>74</v>
      </c>
      <c r="AT622" t="s">
        <v>1240</v>
      </c>
      <c r="AU622">
        <v>2021</v>
      </c>
      <c r="AV622">
        <v>11</v>
      </c>
      <c r="AW622" t="s">
        <v>74</v>
      </c>
      <c r="AX622" t="s">
        <v>74</v>
      </c>
      <c r="AY622" t="s">
        <v>74</v>
      </c>
      <c r="AZ622" t="s">
        <v>74</v>
      </c>
      <c r="BA622" t="s">
        <v>74</v>
      </c>
      <c r="BB622" t="s">
        <v>74</v>
      </c>
      <c r="BC622" t="s">
        <v>74</v>
      </c>
      <c r="BD622">
        <v>718408</v>
      </c>
      <c r="BE622" t="s">
        <v>1241</v>
      </c>
      <c r="BF622" t="str">
        <f>HYPERLINK("http://dx.doi.org/10.3389/fonc.2021.718408","http://dx.doi.org/10.3389/fonc.2021.718408")</f>
        <v>http://dx.doi.org/10.3389/fonc.2021.718408</v>
      </c>
      <c r="BG622" t="s">
        <v>74</v>
      </c>
      <c r="BH622" t="s">
        <v>74</v>
      </c>
      <c r="BI622" t="s">
        <v>74</v>
      </c>
      <c r="BJ622" t="s">
        <v>146</v>
      </c>
      <c r="BK622" t="s">
        <v>112</v>
      </c>
      <c r="BL622" t="s">
        <v>146</v>
      </c>
      <c r="BM622" t="s">
        <v>74</v>
      </c>
      <c r="BN622">
        <v>34868914</v>
      </c>
      <c r="BO622" t="s">
        <v>74</v>
      </c>
      <c r="BP622" t="s">
        <v>74</v>
      </c>
      <c r="BQ622" t="s">
        <v>74</v>
      </c>
      <c r="BR622" t="s">
        <v>93</v>
      </c>
      <c r="BS622" t="s">
        <v>1242</v>
      </c>
      <c r="BT622" t="str">
        <f>HYPERLINK("https%3A%2F%2Fwww.webofscience.com%2Fwos%2Fwoscc%2Ffull-record%2FWOS:000741811000001","View Full Record in Web of Science")</f>
        <v>View Full Record in Web of Science</v>
      </c>
    </row>
    <row r="623" spans="1:72" x14ac:dyDescent="0.15">
      <c r="A623" t="s">
        <v>72</v>
      </c>
      <c r="B623" t="s">
        <v>1260</v>
      </c>
      <c r="C623" t="s">
        <v>74</v>
      </c>
      <c r="D623" t="s">
        <v>74</v>
      </c>
      <c r="E623" t="s">
        <v>74</v>
      </c>
      <c r="F623" t="s">
        <v>1261</v>
      </c>
      <c r="G623" t="s">
        <v>74</v>
      </c>
      <c r="H623" t="s">
        <v>74</v>
      </c>
      <c r="I623" t="s">
        <v>1262</v>
      </c>
      <c r="J623" t="s">
        <v>1263</v>
      </c>
      <c r="K623" t="s">
        <v>74</v>
      </c>
      <c r="L623" t="s">
        <v>74</v>
      </c>
      <c r="M623" t="s">
        <v>74</v>
      </c>
      <c r="N623" t="s">
        <v>78</v>
      </c>
      <c r="O623" t="s">
        <v>74</v>
      </c>
      <c r="P623" t="s">
        <v>74</v>
      </c>
      <c r="Q623" t="s">
        <v>74</v>
      </c>
      <c r="R623" t="s">
        <v>74</v>
      </c>
      <c r="S623" t="s">
        <v>74</v>
      </c>
      <c r="T623" t="s">
        <v>1264</v>
      </c>
      <c r="U623" t="s">
        <v>74</v>
      </c>
      <c r="V623" t="s">
        <v>1265</v>
      </c>
      <c r="W623" t="s">
        <v>1266</v>
      </c>
      <c r="X623" t="s">
        <v>1267</v>
      </c>
      <c r="Y623" t="s">
        <v>1268</v>
      </c>
      <c r="Z623" t="s">
        <v>1269</v>
      </c>
      <c r="AA623" t="s">
        <v>1270</v>
      </c>
      <c r="AB623" t="s">
        <v>1271</v>
      </c>
      <c r="AC623" t="s">
        <v>74</v>
      </c>
      <c r="AD623" t="s">
        <v>74</v>
      </c>
      <c r="AE623" t="s">
        <v>74</v>
      </c>
      <c r="AF623" t="s">
        <v>74</v>
      </c>
      <c r="AG623">
        <v>21</v>
      </c>
      <c r="AH623">
        <v>1</v>
      </c>
      <c r="AI623">
        <v>1</v>
      </c>
      <c r="AJ623">
        <v>3</v>
      </c>
      <c r="AK623">
        <v>7</v>
      </c>
      <c r="AL623" t="s">
        <v>74</v>
      </c>
      <c r="AM623" t="s">
        <v>74</v>
      </c>
      <c r="AN623" t="s">
        <v>74</v>
      </c>
      <c r="AO623" t="s">
        <v>74</v>
      </c>
      <c r="AP623" t="s">
        <v>1272</v>
      </c>
      <c r="AQ623" t="s">
        <v>74</v>
      </c>
      <c r="AR623" t="s">
        <v>74</v>
      </c>
      <c r="AS623" t="s">
        <v>74</v>
      </c>
      <c r="AT623" t="s">
        <v>640</v>
      </c>
      <c r="AU623">
        <v>2021</v>
      </c>
      <c r="AV623">
        <v>14</v>
      </c>
      <c r="AW623">
        <v>2</v>
      </c>
      <c r="AX623" t="s">
        <v>74</v>
      </c>
      <c r="AY623" t="s">
        <v>74</v>
      </c>
      <c r="AZ623" t="s">
        <v>74</v>
      </c>
      <c r="BA623" t="s">
        <v>74</v>
      </c>
      <c r="BB623" t="s">
        <v>74</v>
      </c>
      <c r="BC623" t="s">
        <v>74</v>
      </c>
      <c r="BD623">
        <v>128</v>
      </c>
      <c r="BE623" t="s">
        <v>1273</v>
      </c>
      <c r="BF623" t="str">
        <f>HYPERLINK("http://dx.doi.org/10.3390/ph14020128","http://dx.doi.org/10.3390/ph14020128")</f>
        <v>http://dx.doi.org/10.3390/ph14020128</v>
      </c>
      <c r="BG623" t="s">
        <v>74</v>
      </c>
      <c r="BH623" t="s">
        <v>74</v>
      </c>
      <c r="BI623" t="s">
        <v>74</v>
      </c>
      <c r="BJ623" t="s">
        <v>1274</v>
      </c>
      <c r="BK623" t="s">
        <v>112</v>
      </c>
      <c r="BL623" t="s">
        <v>1275</v>
      </c>
      <c r="BM623" t="s">
        <v>74</v>
      </c>
      <c r="BN623">
        <v>33562158</v>
      </c>
      <c r="BO623" t="s">
        <v>74</v>
      </c>
      <c r="BP623" t="s">
        <v>74</v>
      </c>
      <c r="BQ623" t="s">
        <v>74</v>
      </c>
      <c r="BR623" t="s">
        <v>93</v>
      </c>
      <c r="BS623" t="s">
        <v>1276</v>
      </c>
      <c r="BT623" t="str">
        <f>HYPERLINK("https%3A%2F%2Fwww.webofscience.com%2Fwos%2Fwoscc%2Ffull-record%2FWOS:000622957400001","View Full Record in Web of Science")</f>
        <v>View Full Record in Web of Science</v>
      </c>
    </row>
    <row r="624" spans="1:72" x14ac:dyDescent="0.15">
      <c r="A624" t="s">
        <v>72</v>
      </c>
      <c r="B624" t="s">
        <v>1544</v>
      </c>
      <c r="C624" t="s">
        <v>74</v>
      </c>
      <c r="D624" t="s">
        <v>74</v>
      </c>
      <c r="E624" t="s">
        <v>74</v>
      </c>
      <c r="F624" t="s">
        <v>1545</v>
      </c>
      <c r="G624" t="s">
        <v>74</v>
      </c>
      <c r="H624" t="s">
        <v>74</v>
      </c>
      <c r="I624" t="s">
        <v>1546</v>
      </c>
      <c r="J624" t="s">
        <v>339</v>
      </c>
      <c r="K624" t="s">
        <v>74</v>
      </c>
      <c r="L624" t="s">
        <v>74</v>
      </c>
      <c r="M624" t="s">
        <v>74</v>
      </c>
      <c r="N624" t="s">
        <v>78</v>
      </c>
      <c r="O624" t="s">
        <v>74</v>
      </c>
      <c r="P624" t="s">
        <v>74</v>
      </c>
      <c r="Q624" t="s">
        <v>74</v>
      </c>
      <c r="R624" t="s">
        <v>74</v>
      </c>
      <c r="S624" t="s">
        <v>74</v>
      </c>
      <c r="T624" t="s">
        <v>1547</v>
      </c>
      <c r="U624" t="s">
        <v>1548</v>
      </c>
      <c r="V624" t="s">
        <v>1549</v>
      </c>
      <c r="W624" t="s">
        <v>1550</v>
      </c>
      <c r="X624" t="s">
        <v>1551</v>
      </c>
      <c r="Y624" t="s">
        <v>1552</v>
      </c>
      <c r="Z624" t="s">
        <v>1553</v>
      </c>
      <c r="AA624" t="s">
        <v>74</v>
      </c>
      <c r="AB624" t="s">
        <v>1554</v>
      </c>
      <c r="AC624" t="s">
        <v>74</v>
      </c>
      <c r="AD624" t="s">
        <v>74</v>
      </c>
      <c r="AE624" t="s">
        <v>74</v>
      </c>
      <c r="AF624" t="s">
        <v>74</v>
      </c>
      <c r="AG624">
        <v>31</v>
      </c>
      <c r="AH624">
        <v>1</v>
      </c>
      <c r="AI624">
        <v>1</v>
      </c>
      <c r="AJ624">
        <v>0</v>
      </c>
      <c r="AK624">
        <v>6</v>
      </c>
      <c r="AL624" t="s">
        <v>74</v>
      </c>
      <c r="AM624" t="s">
        <v>74</v>
      </c>
      <c r="AN624" t="s">
        <v>74</v>
      </c>
      <c r="AO624" t="s">
        <v>74</v>
      </c>
      <c r="AP624" t="s">
        <v>347</v>
      </c>
      <c r="AQ624" t="s">
        <v>74</v>
      </c>
      <c r="AR624" t="s">
        <v>74</v>
      </c>
      <c r="AS624" t="s">
        <v>74</v>
      </c>
      <c r="AT624" t="s">
        <v>818</v>
      </c>
      <c r="AU624">
        <v>2021</v>
      </c>
      <c r="AV624">
        <v>12</v>
      </c>
      <c r="AW624">
        <v>8</v>
      </c>
      <c r="AX624" t="s">
        <v>74</v>
      </c>
      <c r="AY624" t="s">
        <v>74</v>
      </c>
      <c r="AZ624" t="s">
        <v>74</v>
      </c>
      <c r="BA624" t="s">
        <v>74</v>
      </c>
      <c r="BB624" t="s">
        <v>74</v>
      </c>
      <c r="BC624" t="s">
        <v>74</v>
      </c>
      <c r="BD624">
        <v>1171</v>
      </c>
      <c r="BE624" t="s">
        <v>1555</v>
      </c>
      <c r="BF624" t="str">
        <f>HYPERLINK("http://dx.doi.org/10.3390/genes12081171","http://dx.doi.org/10.3390/genes12081171")</f>
        <v>http://dx.doi.org/10.3390/genes12081171</v>
      </c>
      <c r="BG624" t="s">
        <v>74</v>
      </c>
      <c r="BH624" t="s">
        <v>74</v>
      </c>
      <c r="BI624" t="s">
        <v>74</v>
      </c>
      <c r="BJ624" t="s">
        <v>349</v>
      </c>
      <c r="BK624" t="s">
        <v>112</v>
      </c>
      <c r="BL624" t="s">
        <v>349</v>
      </c>
      <c r="BM624" t="s">
        <v>74</v>
      </c>
      <c r="BN624">
        <v>34440345</v>
      </c>
      <c r="BO624" t="s">
        <v>74</v>
      </c>
      <c r="BP624" t="s">
        <v>74</v>
      </c>
      <c r="BQ624" t="s">
        <v>74</v>
      </c>
      <c r="BR624" t="s">
        <v>93</v>
      </c>
      <c r="BS624" t="s">
        <v>1556</v>
      </c>
      <c r="BT624" t="str">
        <f>HYPERLINK("https%3A%2F%2Fwww.webofscience.com%2Fwos%2Fwoscc%2Ffull-record%2FWOS:000689122500001","View Full Record in Web of Science")</f>
        <v>View Full Record in Web of Science</v>
      </c>
    </row>
    <row r="625" spans="1:72" x14ac:dyDescent="0.15">
      <c r="A625" t="s">
        <v>72</v>
      </c>
      <c r="B625" t="s">
        <v>1606</v>
      </c>
      <c r="C625" t="s">
        <v>74</v>
      </c>
      <c r="D625" t="s">
        <v>74</v>
      </c>
      <c r="E625" t="s">
        <v>74</v>
      </c>
      <c r="F625" t="s">
        <v>1607</v>
      </c>
      <c r="G625" t="s">
        <v>74</v>
      </c>
      <c r="H625" t="s">
        <v>74</v>
      </c>
      <c r="I625" t="s">
        <v>1608</v>
      </c>
      <c r="J625" t="s">
        <v>532</v>
      </c>
      <c r="K625" t="s">
        <v>74</v>
      </c>
      <c r="L625" t="s">
        <v>74</v>
      </c>
      <c r="M625" t="s">
        <v>74</v>
      </c>
      <c r="N625" t="s">
        <v>78</v>
      </c>
      <c r="O625" t="s">
        <v>74</v>
      </c>
      <c r="P625" t="s">
        <v>74</v>
      </c>
      <c r="Q625" t="s">
        <v>74</v>
      </c>
      <c r="R625" t="s">
        <v>74</v>
      </c>
      <c r="S625" t="s">
        <v>74</v>
      </c>
      <c r="T625" t="s">
        <v>1609</v>
      </c>
      <c r="U625" t="s">
        <v>1610</v>
      </c>
      <c r="V625" t="s">
        <v>1611</v>
      </c>
      <c r="W625" t="s">
        <v>1612</v>
      </c>
      <c r="X625" t="s">
        <v>1613</v>
      </c>
      <c r="Y625" t="s">
        <v>1614</v>
      </c>
      <c r="Z625" t="s">
        <v>1615</v>
      </c>
      <c r="AA625" t="s">
        <v>1616</v>
      </c>
      <c r="AB625" t="s">
        <v>1617</v>
      </c>
      <c r="AC625" t="s">
        <v>74</v>
      </c>
      <c r="AD625" t="s">
        <v>74</v>
      </c>
      <c r="AE625" t="s">
        <v>74</v>
      </c>
      <c r="AF625" t="s">
        <v>74</v>
      </c>
      <c r="AG625">
        <v>26</v>
      </c>
      <c r="AH625">
        <v>1</v>
      </c>
      <c r="AI625">
        <v>1</v>
      </c>
      <c r="AJ625">
        <v>0</v>
      </c>
      <c r="AK625">
        <v>1</v>
      </c>
      <c r="AL625" t="s">
        <v>74</v>
      </c>
      <c r="AM625" t="s">
        <v>74</v>
      </c>
      <c r="AN625" t="s">
        <v>74</v>
      </c>
      <c r="AO625" t="s">
        <v>542</v>
      </c>
      <c r="AP625" t="s">
        <v>74</v>
      </c>
      <c r="AQ625" t="s">
        <v>74</v>
      </c>
      <c r="AR625" t="s">
        <v>74</v>
      </c>
      <c r="AS625" t="s">
        <v>74</v>
      </c>
      <c r="AT625" t="s">
        <v>640</v>
      </c>
      <c r="AU625">
        <v>2020</v>
      </c>
      <c r="AV625" t="s">
        <v>74</v>
      </c>
      <c r="AW625">
        <v>156</v>
      </c>
      <c r="AX625" t="s">
        <v>74</v>
      </c>
      <c r="AY625" t="s">
        <v>74</v>
      </c>
      <c r="AZ625" t="s">
        <v>74</v>
      </c>
      <c r="BA625" t="s">
        <v>74</v>
      </c>
      <c r="BB625" t="s">
        <v>74</v>
      </c>
      <c r="BC625" t="s">
        <v>74</v>
      </c>
      <c r="BD625" t="s">
        <v>1618</v>
      </c>
      <c r="BE625" t="s">
        <v>1619</v>
      </c>
      <c r="BF625" t="str">
        <f>HYPERLINK("http://dx.doi.org/10.3791/60705","http://dx.doi.org/10.3791/60705")</f>
        <v>http://dx.doi.org/10.3791/60705</v>
      </c>
      <c r="BG625" t="s">
        <v>74</v>
      </c>
      <c r="BH625" t="s">
        <v>74</v>
      </c>
      <c r="BI625" t="s">
        <v>74</v>
      </c>
      <c r="BJ625" t="s">
        <v>545</v>
      </c>
      <c r="BK625" t="s">
        <v>112</v>
      </c>
      <c r="BL625" t="s">
        <v>546</v>
      </c>
      <c r="BM625" t="s">
        <v>74</v>
      </c>
      <c r="BN625">
        <v>32065171</v>
      </c>
      <c r="BO625" t="s">
        <v>74</v>
      </c>
      <c r="BP625" t="s">
        <v>74</v>
      </c>
      <c r="BQ625" t="s">
        <v>74</v>
      </c>
      <c r="BR625" t="s">
        <v>93</v>
      </c>
      <c r="BS625" t="s">
        <v>1620</v>
      </c>
      <c r="BT625" t="str">
        <f>HYPERLINK("https%3A%2F%2Fwww.webofscience.com%2Fwos%2Fwoscc%2Ffull-record%2FWOS:000518403300063","View Full Record in Web of Science")</f>
        <v>View Full Record in Web of Science</v>
      </c>
    </row>
    <row r="626" spans="1:72" x14ac:dyDescent="0.15">
      <c r="A626" t="s">
        <v>72</v>
      </c>
      <c r="B626" t="s">
        <v>1684</v>
      </c>
      <c r="C626" t="s">
        <v>74</v>
      </c>
      <c r="D626" t="s">
        <v>74</v>
      </c>
      <c r="E626" t="s">
        <v>74</v>
      </c>
      <c r="F626" t="s">
        <v>1685</v>
      </c>
      <c r="G626" t="s">
        <v>74</v>
      </c>
      <c r="H626" t="s">
        <v>74</v>
      </c>
      <c r="I626" t="s">
        <v>1686</v>
      </c>
      <c r="J626" t="s">
        <v>1687</v>
      </c>
      <c r="K626" t="s">
        <v>74</v>
      </c>
      <c r="L626" t="s">
        <v>74</v>
      </c>
      <c r="M626" t="s">
        <v>74</v>
      </c>
      <c r="N626" t="s">
        <v>78</v>
      </c>
      <c r="O626" t="s">
        <v>74</v>
      </c>
      <c r="P626" t="s">
        <v>74</v>
      </c>
      <c r="Q626" t="s">
        <v>74</v>
      </c>
      <c r="R626" t="s">
        <v>74</v>
      </c>
      <c r="S626" t="s">
        <v>74</v>
      </c>
      <c r="T626" t="s">
        <v>1688</v>
      </c>
      <c r="U626" t="s">
        <v>1689</v>
      </c>
      <c r="V626" t="s">
        <v>1690</v>
      </c>
      <c r="W626" t="s">
        <v>1691</v>
      </c>
      <c r="X626" t="s">
        <v>1692</v>
      </c>
      <c r="Y626" t="s">
        <v>1693</v>
      </c>
      <c r="Z626" t="s">
        <v>1694</v>
      </c>
      <c r="AA626" t="s">
        <v>1695</v>
      </c>
      <c r="AB626" t="s">
        <v>1696</v>
      </c>
      <c r="AC626" t="s">
        <v>74</v>
      </c>
      <c r="AD626" t="s">
        <v>74</v>
      </c>
      <c r="AE626" t="s">
        <v>74</v>
      </c>
      <c r="AF626" t="s">
        <v>74</v>
      </c>
      <c r="AG626">
        <v>66</v>
      </c>
      <c r="AH626">
        <v>1</v>
      </c>
      <c r="AI626">
        <v>1</v>
      </c>
      <c r="AJ626">
        <v>1</v>
      </c>
      <c r="AK626">
        <v>5</v>
      </c>
      <c r="AL626" t="s">
        <v>74</v>
      </c>
      <c r="AM626" t="s">
        <v>74</v>
      </c>
      <c r="AN626" t="s">
        <v>74</v>
      </c>
      <c r="AO626" t="s">
        <v>74</v>
      </c>
      <c r="AP626" t="s">
        <v>1697</v>
      </c>
      <c r="AQ626" t="s">
        <v>74</v>
      </c>
      <c r="AR626" t="s">
        <v>74</v>
      </c>
      <c r="AS626" t="s">
        <v>74</v>
      </c>
      <c r="AT626" t="s">
        <v>1111</v>
      </c>
      <c r="AU626">
        <v>2021</v>
      </c>
      <c r="AV626">
        <v>10</v>
      </c>
      <c r="AW626">
        <v>5</v>
      </c>
      <c r="AX626" t="s">
        <v>74</v>
      </c>
      <c r="AY626" t="s">
        <v>74</v>
      </c>
      <c r="AZ626" t="s">
        <v>74</v>
      </c>
      <c r="BA626" t="s">
        <v>74</v>
      </c>
      <c r="BB626" t="s">
        <v>74</v>
      </c>
      <c r="BC626" t="s">
        <v>74</v>
      </c>
      <c r="BD626">
        <v>526</v>
      </c>
      <c r="BE626" t="s">
        <v>1698</v>
      </c>
      <c r="BF626" t="str">
        <f>HYPERLINK("http://dx.doi.org/10.3390/pathogens10050526","http://dx.doi.org/10.3390/pathogens10050526")</f>
        <v>http://dx.doi.org/10.3390/pathogens10050526</v>
      </c>
      <c r="BG626" t="s">
        <v>74</v>
      </c>
      <c r="BH626" t="s">
        <v>74</v>
      </c>
      <c r="BI626" t="s">
        <v>74</v>
      </c>
      <c r="BJ626" t="s">
        <v>1699</v>
      </c>
      <c r="BK626" t="s">
        <v>112</v>
      </c>
      <c r="BL626" t="s">
        <v>1699</v>
      </c>
      <c r="BM626" t="s">
        <v>74</v>
      </c>
      <c r="BN626">
        <v>33925397</v>
      </c>
      <c r="BO626" t="s">
        <v>74</v>
      </c>
      <c r="BP626" t="s">
        <v>74</v>
      </c>
      <c r="BQ626" t="s">
        <v>74</v>
      </c>
      <c r="BR626" t="s">
        <v>93</v>
      </c>
      <c r="BS626" t="s">
        <v>1700</v>
      </c>
      <c r="BT626" t="str">
        <f>HYPERLINK("https%3A%2F%2Fwww.webofscience.com%2Fwos%2Fwoscc%2Ffull-record%2FWOS:000654411000001","View Full Record in Web of Science")</f>
        <v>View Full Record in Web of Science</v>
      </c>
    </row>
    <row r="627" spans="1:72" x14ac:dyDescent="0.15">
      <c r="A627" t="s">
        <v>72</v>
      </c>
      <c r="B627" t="s">
        <v>1747</v>
      </c>
      <c r="C627" t="s">
        <v>74</v>
      </c>
      <c r="D627" t="s">
        <v>74</v>
      </c>
      <c r="E627" t="s">
        <v>74</v>
      </c>
      <c r="F627" t="s">
        <v>1748</v>
      </c>
      <c r="G627" t="s">
        <v>74</v>
      </c>
      <c r="H627" t="s">
        <v>74</v>
      </c>
      <c r="I627" t="s">
        <v>1749</v>
      </c>
      <c r="J627" t="s">
        <v>1750</v>
      </c>
      <c r="K627" t="s">
        <v>74</v>
      </c>
      <c r="L627" t="s">
        <v>74</v>
      </c>
      <c r="M627" t="s">
        <v>74</v>
      </c>
      <c r="N627" t="s">
        <v>78</v>
      </c>
      <c r="O627" t="s">
        <v>74</v>
      </c>
      <c r="P627" t="s">
        <v>74</v>
      </c>
      <c r="Q627" t="s">
        <v>74</v>
      </c>
      <c r="R627" t="s">
        <v>74</v>
      </c>
      <c r="S627" t="s">
        <v>74</v>
      </c>
      <c r="T627" t="s">
        <v>1751</v>
      </c>
      <c r="U627" t="s">
        <v>1752</v>
      </c>
      <c r="V627" t="s">
        <v>1753</v>
      </c>
      <c r="W627" t="s">
        <v>1754</v>
      </c>
      <c r="X627" t="s">
        <v>1755</v>
      </c>
      <c r="Y627" t="s">
        <v>1756</v>
      </c>
      <c r="Z627" t="s">
        <v>1757</v>
      </c>
      <c r="AA627" t="s">
        <v>1758</v>
      </c>
      <c r="AB627" t="s">
        <v>1759</v>
      </c>
      <c r="AC627" t="s">
        <v>74</v>
      </c>
      <c r="AD627" t="s">
        <v>74</v>
      </c>
      <c r="AE627" t="s">
        <v>74</v>
      </c>
      <c r="AF627" t="s">
        <v>74</v>
      </c>
      <c r="AG627">
        <v>46</v>
      </c>
      <c r="AH627">
        <v>1</v>
      </c>
      <c r="AI627">
        <v>1</v>
      </c>
      <c r="AJ627">
        <v>1</v>
      </c>
      <c r="AK627">
        <v>2</v>
      </c>
      <c r="AL627" t="s">
        <v>74</v>
      </c>
      <c r="AM627" t="s">
        <v>74</v>
      </c>
      <c r="AN627" t="s">
        <v>74</v>
      </c>
      <c r="AO627" t="s">
        <v>74</v>
      </c>
      <c r="AP627" t="s">
        <v>1760</v>
      </c>
      <c r="AQ627" t="s">
        <v>74</v>
      </c>
      <c r="AR627" t="s">
        <v>74</v>
      </c>
      <c r="AS627" t="s">
        <v>74</v>
      </c>
      <c r="AT627" t="s">
        <v>1761</v>
      </c>
      <c r="AU627">
        <v>2021</v>
      </c>
      <c r="AV627">
        <v>8</v>
      </c>
      <c r="AW627" t="s">
        <v>74</v>
      </c>
      <c r="AX627" t="s">
        <v>74</v>
      </c>
      <c r="AY627" t="s">
        <v>74</v>
      </c>
      <c r="AZ627" t="s">
        <v>74</v>
      </c>
      <c r="BA627" t="s">
        <v>74</v>
      </c>
      <c r="BB627" t="s">
        <v>74</v>
      </c>
      <c r="BC627" t="s">
        <v>74</v>
      </c>
      <c r="BD627">
        <v>732900</v>
      </c>
      <c r="BE627" t="s">
        <v>1762</v>
      </c>
      <c r="BF627" t="str">
        <f>HYPERLINK("http://dx.doi.org/10.3389/fmolb.2021.732900","http://dx.doi.org/10.3389/fmolb.2021.732900")</f>
        <v>http://dx.doi.org/10.3389/fmolb.2021.732900</v>
      </c>
      <c r="BG627" t="s">
        <v>74</v>
      </c>
      <c r="BH627" t="s">
        <v>74</v>
      </c>
      <c r="BI627" t="s">
        <v>74</v>
      </c>
      <c r="BJ627" t="s">
        <v>92</v>
      </c>
      <c r="BK627" t="s">
        <v>112</v>
      </c>
      <c r="BL627" t="s">
        <v>92</v>
      </c>
      <c r="BM627" t="s">
        <v>74</v>
      </c>
      <c r="BN627">
        <v>34820420</v>
      </c>
      <c r="BO627" t="s">
        <v>74</v>
      </c>
      <c r="BP627" t="s">
        <v>74</v>
      </c>
      <c r="BQ627" t="s">
        <v>74</v>
      </c>
      <c r="BR627" t="s">
        <v>93</v>
      </c>
      <c r="BS627" t="s">
        <v>1763</v>
      </c>
      <c r="BT627" t="str">
        <f>HYPERLINK("https%3A%2F%2Fwww.webofscience.com%2Fwos%2Fwoscc%2Ffull-record%2FWOS:000720771200001","View Full Record in Web of Science")</f>
        <v>View Full Record in Web of Science</v>
      </c>
    </row>
    <row r="628" spans="1:72" x14ac:dyDescent="0.15">
      <c r="A628" t="s">
        <v>72</v>
      </c>
      <c r="B628" t="s">
        <v>1854</v>
      </c>
      <c r="C628" t="s">
        <v>74</v>
      </c>
      <c r="D628" t="s">
        <v>74</v>
      </c>
      <c r="E628" t="s">
        <v>74</v>
      </c>
      <c r="F628" t="s">
        <v>1855</v>
      </c>
      <c r="G628" t="s">
        <v>74</v>
      </c>
      <c r="H628" t="s">
        <v>74</v>
      </c>
      <c r="I628" t="s">
        <v>1856</v>
      </c>
      <c r="J628" t="s">
        <v>262</v>
      </c>
      <c r="K628" t="s">
        <v>74</v>
      </c>
      <c r="L628" t="s">
        <v>74</v>
      </c>
      <c r="M628" t="s">
        <v>74</v>
      </c>
      <c r="N628" t="s">
        <v>78</v>
      </c>
      <c r="O628" t="s">
        <v>74</v>
      </c>
      <c r="P628" t="s">
        <v>74</v>
      </c>
      <c r="Q628" t="s">
        <v>74</v>
      </c>
      <c r="R628" t="s">
        <v>74</v>
      </c>
      <c r="S628" t="s">
        <v>74</v>
      </c>
      <c r="T628" t="s">
        <v>1857</v>
      </c>
      <c r="U628" t="s">
        <v>1858</v>
      </c>
      <c r="V628" t="s">
        <v>1859</v>
      </c>
      <c r="W628" t="s">
        <v>1860</v>
      </c>
      <c r="X628" t="s">
        <v>1861</v>
      </c>
      <c r="Y628" t="s">
        <v>1862</v>
      </c>
      <c r="Z628" t="s">
        <v>1863</v>
      </c>
      <c r="AA628" t="s">
        <v>1520</v>
      </c>
      <c r="AB628" t="s">
        <v>1864</v>
      </c>
      <c r="AC628" t="s">
        <v>74</v>
      </c>
      <c r="AD628" t="s">
        <v>74</v>
      </c>
      <c r="AE628" t="s">
        <v>74</v>
      </c>
      <c r="AF628" t="s">
        <v>74</v>
      </c>
      <c r="AG628">
        <v>38</v>
      </c>
      <c r="AH628">
        <v>1</v>
      </c>
      <c r="AI628">
        <v>1</v>
      </c>
      <c r="AJ628">
        <v>0</v>
      </c>
      <c r="AK628">
        <v>1</v>
      </c>
      <c r="AL628" t="s">
        <v>74</v>
      </c>
      <c r="AM628" t="s">
        <v>74</v>
      </c>
      <c r="AN628" t="s">
        <v>74</v>
      </c>
      <c r="AO628" t="s">
        <v>270</v>
      </c>
      <c r="AP628" t="s">
        <v>74</v>
      </c>
      <c r="AQ628" t="s">
        <v>74</v>
      </c>
      <c r="AR628" t="s">
        <v>74</v>
      </c>
      <c r="AS628" t="s">
        <v>74</v>
      </c>
      <c r="AT628" t="s">
        <v>1865</v>
      </c>
      <c r="AU628">
        <v>2021</v>
      </c>
      <c r="AV628">
        <v>11</v>
      </c>
      <c r="AW628" t="s">
        <v>74</v>
      </c>
      <c r="AX628" t="s">
        <v>74</v>
      </c>
      <c r="AY628" t="s">
        <v>74</v>
      </c>
      <c r="AZ628" t="s">
        <v>74</v>
      </c>
      <c r="BA628" t="s">
        <v>74</v>
      </c>
      <c r="BB628" t="s">
        <v>74</v>
      </c>
      <c r="BC628" t="s">
        <v>74</v>
      </c>
      <c r="BD628">
        <v>715217</v>
      </c>
      <c r="BE628" t="s">
        <v>1866</v>
      </c>
      <c r="BF628" t="str">
        <f>HYPERLINK("http://dx.doi.org/10.3389/fonc.2021.715217","http://dx.doi.org/10.3389/fonc.2021.715217")</f>
        <v>http://dx.doi.org/10.3389/fonc.2021.715217</v>
      </c>
      <c r="BG628" t="s">
        <v>74</v>
      </c>
      <c r="BH628" t="s">
        <v>74</v>
      </c>
      <c r="BI628" t="s">
        <v>74</v>
      </c>
      <c r="BJ628" t="s">
        <v>146</v>
      </c>
      <c r="BK628" t="s">
        <v>112</v>
      </c>
      <c r="BL628" t="s">
        <v>146</v>
      </c>
      <c r="BM628" t="s">
        <v>74</v>
      </c>
      <c r="BN628">
        <v>34900671</v>
      </c>
      <c r="BO628" t="s">
        <v>74</v>
      </c>
      <c r="BP628" t="s">
        <v>74</v>
      </c>
      <c r="BQ628" t="s">
        <v>74</v>
      </c>
      <c r="BR628" t="s">
        <v>93</v>
      </c>
      <c r="BS628" t="s">
        <v>1867</v>
      </c>
      <c r="BT628" t="str">
        <f>HYPERLINK("https%3A%2F%2Fwww.webofscience.com%2Fwos%2Fwoscc%2Ffull-record%2FWOS:000728893400001","View Full Record in Web of Science")</f>
        <v>View Full Record in Web of Science</v>
      </c>
    </row>
    <row r="629" spans="1:72" x14ac:dyDescent="0.15">
      <c r="A629" t="s">
        <v>312</v>
      </c>
      <c r="B629" t="s">
        <v>2337</v>
      </c>
      <c r="C629" t="s">
        <v>74</v>
      </c>
      <c r="D629" t="s">
        <v>2338</v>
      </c>
      <c r="E629" t="s">
        <v>74</v>
      </c>
      <c r="F629" t="s">
        <v>2339</v>
      </c>
      <c r="G629" t="s">
        <v>74</v>
      </c>
      <c r="H629" t="s">
        <v>74</v>
      </c>
      <c r="I629" t="s">
        <v>2340</v>
      </c>
      <c r="J629" t="s">
        <v>2341</v>
      </c>
      <c r="K629" t="s">
        <v>318</v>
      </c>
      <c r="L629" t="s">
        <v>74</v>
      </c>
      <c r="M629" t="s">
        <v>74</v>
      </c>
      <c r="N629" t="s">
        <v>319</v>
      </c>
      <c r="O629" t="s">
        <v>74</v>
      </c>
      <c r="P629" t="s">
        <v>74</v>
      </c>
      <c r="Q629" t="s">
        <v>74</v>
      </c>
      <c r="R629" t="s">
        <v>74</v>
      </c>
      <c r="S629" t="s">
        <v>74</v>
      </c>
      <c r="T629" t="s">
        <v>2342</v>
      </c>
      <c r="U629" t="s">
        <v>2343</v>
      </c>
      <c r="V629" t="s">
        <v>2344</v>
      </c>
      <c r="W629" t="s">
        <v>2345</v>
      </c>
      <c r="X629" t="s">
        <v>2346</v>
      </c>
      <c r="Y629" t="s">
        <v>2347</v>
      </c>
      <c r="Z629" t="s">
        <v>74</v>
      </c>
      <c r="AA629" t="s">
        <v>2348</v>
      </c>
      <c r="AB629" t="s">
        <v>2349</v>
      </c>
      <c r="AC629" t="s">
        <v>74</v>
      </c>
      <c r="AD629" t="s">
        <v>74</v>
      </c>
      <c r="AE629" t="s">
        <v>74</v>
      </c>
      <c r="AF629" t="s">
        <v>74</v>
      </c>
      <c r="AG629">
        <v>17</v>
      </c>
      <c r="AH629">
        <v>1</v>
      </c>
      <c r="AI629">
        <v>2</v>
      </c>
      <c r="AJ629">
        <v>1</v>
      </c>
      <c r="AK629">
        <v>5</v>
      </c>
      <c r="AL629" t="s">
        <v>74</v>
      </c>
      <c r="AM629" t="s">
        <v>74</v>
      </c>
      <c r="AN629" t="s">
        <v>74</v>
      </c>
      <c r="AO629" t="s">
        <v>328</v>
      </c>
      <c r="AP629" t="s">
        <v>329</v>
      </c>
      <c r="AQ629" t="s">
        <v>2350</v>
      </c>
      <c r="AR629" t="s">
        <v>74</v>
      </c>
      <c r="AS629" t="s">
        <v>74</v>
      </c>
      <c r="AT629" t="s">
        <v>74</v>
      </c>
      <c r="AU629">
        <v>2020</v>
      </c>
      <c r="AV629">
        <v>2129</v>
      </c>
      <c r="AW629" t="s">
        <v>74</v>
      </c>
      <c r="AX629" t="s">
        <v>74</v>
      </c>
      <c r="AY629" t="s">
        <v>74</v>
      </c>
      <c r="AZ629" t="s">
        <v>74</v>
      </c>
      <c r="BA629" t="s">
        <v>74</v>
      </c>
      <c r="BB629">
        <v>203</v>
      </c>
      <c r="BC629">
        <v>215</v>
      </c>
      <c r="BD629" t="s">
        <v>74</v>
      </c>
      <c r="BE629" t="s">
        <v>2351</v>
      </c>
      <c r="BF629" t="str">
        <f>HYPERLINK("http://dx.doi.org/10.1007/978-1-0716-0377-2_16","http://dx.doi.org/10.1007/978-1-0716-0377-2_16")</f>
        <v>http://dx.doi.org/10.1007/978-1-0716-0377-2_16</v>
      </c>
      <c r="BG629" t="s">
        <v>2352</v>
      </c>
      <c r="BH629" t="s">
        <v>74</v>
      </c>
      <c r="BI629" t="s">
        <v>74</v>
      </c>
      <c r="BJ629" t="s">
        <v>2353</v>
      </c>
      <c r="BK629" t="s">
        <v>334</v>
      </c>
      <c r="BL629" t="s">
        <v>2353</v>
      </c>
      <c r="BM629" t="s">
        <v>74</v>
      </c>
      <c r="BN629">
        <v>32056180</v>
      </c>
      <c r="BO629" t="s">
        <v>74</v>
      </c>
      <c r="BP629" t="s">
        <v>74</v>
      </c>
      <c r="BQ629" t="s">
        <v>74</v>
      </c>
      <c r="BR629" t="s">
        <v>93</v>
      </c>
      <c r="BS629" t="s">
        <v>2354</v>
      </c>
      <c r="BT629" t="str">
        <f>HYPERLINK("https%3A%2F%2Fwww.webofscience.com%2Fwos%2Fwoscc%2Ffull-record%2FWOS:000678137300017","View Full Record in Web of Science")</f>
        <v>View Full Record in Web of Science</v>
      </c>
    </row>
    <row r="630" spans="1:72" x14ac:dyDescent="0.15">
      <c r="A630" t="s">
        <v>72</v>
      </c>
      <c r="B630" t="s">
        <v>2373</v>
      </c>
      <c r="C630" t="s">
        <v>74</v>
      </c>
      <c r="D630" t="s">
        <v>74</v>
      </c>
      <c r="E630" t="s">
        <v>74</v>
      </c>
      <c r="F630" t="s">
        <v>2374</v>
      </c>
      <c r="G630" t="s">
        <v>74</v>
      </c>
      <c r="H630" t="s">
        <v>74</v>
      </c>
      <c r="I630" t="s">
        <v>2375</v>
      </c>
      <c r="J630" t="s">
        <v>2376</v>
      </c>
      <c r="K630" t="s">
        <v>74</v>
      </c>
      <c r="L630" t="s">
        <v>74</v>
      </c>
      <c r="M630" t="s">
        <v>74</v>
      </c>
      <c r="N630" t="s">
        <v>78</v>
      </c>
      <c r="O630" t="s">
        <v>74</v>
      </c>
      <c r="P630" t="s">
        <v>74</v>
      </c>
      <c r="Q630" t="s">
        <v>74</v>
      </c>
      <c r="R630" t="s">
        <v>74</v>
      </c>
      <c r="S630" t="s">
        <v>74</v>
      </c>
      <c r="T630" t="s">
        <v>2377</v>
      </c>
      <c r="U630" t="s">
        <v>2378</v>
      </c>
      <c r="V630" t="s">
        <v>2379</v>
      </c>
      <c r="W630" t="s">
        <v>2380</v>
      </c>
      <c r="X630" t="s">
        <v>2381</v>
      </c>
      <c r="Y630" t="s">
        <v>2382</v>
      </c>
      <c r="Z630" t="s">
        <v>2083</v>
      </c>
      <c r="AA630" t="s">
        <v>74</v>
      </c>
      <c r="AB630" t="s">
        <v>74</v>
      </c>
      <c r="AC630" t="s">
        <v>74</v>
      </c>
      <c r="AD630" t="s">
        <v>74</v>
      </c>
      <c r="AE630" t="s">
        <v>74</v>
      </c>
      <c r="AF630" t="s">
        <v>74</v>
      </c>
      <c r="AG630">
        <v>69</v>
      </c>
      <c r="AH630">
        <v>1</v>
      </c>
      <c r="AI630">
        <v>1</v>
      </c>
      <c r="AJ630">
        <v>0</v>
      </c>
      <c r="AK630">
        <v>1</v>
      </c>
      <c r="AL630" t="s">
        <v>74</v>
      </c>
      <c r="AM630" t="s">
        <v>74</v>
      </c>
      <c r="AN630" t="s">
        <v>74</v>
      </c>
      <c r="AO630" t="s">
        <v>2383</v>
      </c>
      <c r="AP630" t="s">
        <v>74</v>
      </c>
      <c r="AQ630" t="s">
        <v>74</v>
      </c>
      <c r="AR630" t="s">
        <v>74</v>
      </c>
      <c r="AS630" t="s">
        <v>74</v>
      </c>
      <c r="AT630" t="s">
        <v>2384</v>
      </c>
      <c r="AU630">
        <v>2021</v>
      </c>
      <c r="AV630">
        <v>8</v>
      </c>
      <c r="AW630" t="s">
        <v>74</v>
      </c>
      <c r="AX630" t="s">
        <v>74</v>
      </c>
      <c r="AY630" t="s">
        <v>74</v>
      </c>
      <c r="AZ630" t="s">
        <v>74</v>
      </c>
      <c r="BA630" t="s">
        <v>74</v>
      </c>
      <c r="BB630" t="s">
        <v>74</v>
      </c>
      <c r="BC630" t="s">
        <v>74</v>
      </c>
      <c r="BD630">
        <v>694851</v>
      </c>
      <c r="BE630" t="s">
        <v>2385</v>
      </c>
      <c r="BF630" t="str">
        <f>HYPERLINK("http://dx.doi.org/10.3389/fcvm.2021.694851","http://dx.doi.org/10.3389/fcvm.2021.694851")</f>
        <v>http://dx.doi.org/10.3389/fcvm.2021.694851</v>
      </c>
      <c r="BG630" t="s">
        <v>74</v>
      </c>
      <c r="BH630" t="s">
        <v>74</v>
      </c>
      <c r="BI630" t="s">
        <v>74</v>
      </c>
      <c r="BJ630" t="s">
        <v>2386</v>
      </c>
      <c r="BK630" t="s">
        <v>112</v>
      </c>
      <c r="BL630" t="s">
        <v>2387</v>
      </c>
      <c r="BM630" t="s">
        <v>74</v>
      </c>
      <c r="BN630">
        <v>34422924</v>
      </c>
      <c r="BO630" t="s">
        <v>74</v>
      </c>
      <c r="BP630" t="s">
        <v>74</v>
      </c>
      <c r="BQ630" t="s">
        <v>74</v>
      </c>
      <c r="BR630" t="s">
        <v>93</v>
      </c>
      <c r="BS630" t="s">
        <v>2388</v>
      </c>
      <c r="BT630" t="str">
        <f>HYPERLINK("https%3A%2F%2Fwww.webofscience.com%2Fwos%2Fwoscc%2Ffull-record%2FWOS:000684979500004","View Full Record in Web of Science")</f>
        <v>View Full Record in Web of Science</v>
      </c>
    </row>
    <row r="631" spans="1:72" x14ac:dyDescent="0.15">
      <c r="A631" t="s">
        <v>72</v>
      </c>
      <c r="B631" t="s">
        <v>2685</v>
      </c>
      <c r="C631" t="s">
        <v>74</v>
      </c>
      <c r="D631" t="s">
        <v>74</v>
      </c>
      <c r="E631" t="s">
        <v>74</v>
      </c>
      <c r="F631" t="s">
        <v>2686</v>
      </c>
      <c r="G631" t="s">
        <v>74</v>
      </c>
      <c r="H631" t="s">
        <v>74</v>
      </c>
      <c r="I631" t="s">
        <v>2687</v>
      </c>
      <c r="J631" t="s">
        <v>2688</v>
      </c>
      <c r="K631" t="s">
        <v>74</v>
      </c>
      <c r="L631" t="s">
        <v>74</v>
      </c>
      <c r="M631" t="s">
        <v>74</v>
      </c>
      <c r="N631" t="s">
        <v>78</v>
      </c>
      <c r="O631" t="s">
        <v>74</v>
      </c>
      <c r="P631" t="s">
        <v>74</v>
      </c>
      <c r="Q631" t="s">
        <v>74</v>
      </c>
      <c r="R631" t="s">
        <v>74</v>
      </c>
      <c r="S631" t="s">
        <v>74</v>
      </c>
      <c r="T631" t="s">
        <v>2689</v>
      </c>
      <c r="U631" t="s">
        <v>2690</v>
      </c>
      <c r="V631" t="s">
        <v>2691</v>
      </c>
      <c r="W631" t="s">
        <v>2692</v>
      </c>
      <c r="X631" t="s">
        <v>2693</v>
      </c>
      <c r="Y631" t="s">
        <v>2694</v>
      </c>
      <c r="Z631" t="s">
        <v>2695</v>
      </c>
      <c r="AA631" t="s">
        <v>74</v>
      </c>
      <c r="AB631" t="s">
        <v>2696</v>
      </c>
      <c r="AC631" t="s">
        <v>74</v>
      </c>
      <c r="AD631" t="s">
        <v>74</v>
      </c>
      <c r="AE631" t="s">
        <v>74</v>
      </c>
      <c r="AF631" t="s">
        <v>74</v>
      </c>
      <c r="AG631">
        <v>31</v>
      </c>
      <c r="AH631">
        <v>1</v>
      </c>
      <c r="AI631">
        <v>1</v>
      </c>
      <c r="AJ631">
        <v>3</v>
      </c>
      <c r="AK631">
        <v>7</v>
      </c>
      <c r="AL631" t="s">
        <v>74</v>
      </c>
      <c r="AM631" t="s">
        <v>74</v>
      </c>
      <c r="AN631" t="s">
        <v>74</v>
      </c>
      <c r="AO631" t="s">
        <v>2697</v>
      </c>
      <c r="AP631" t="s">
        <v>2698</v>
      </c>
      <c r="AQ631" t="s">
        <v>74</v>
      </c>
      <c r="AR631" t="s">
        <v>74</v>
      </c>
      <c r="AS631" t="s">
        <v>74</v>
      </c>
      <c r="AT631" t="s">
        <v>2699</v>
      </c>
      <c r="AU631">
        <v>2021</v>
      </c>
      <c r="AV631">
        <v>575</v>
      </c>
      <c r="AW631" t="s">
        <v>74</v>
      </c>
      <c r="AX631" t="s">
        <v>74</v>
      </c>
      <c r="AY631" t="s">
        <v>74</v>
      </c>
      <c r="AZ631" t="s">
        <v>74</v>
      </c>
      <c r="BA631" t="s">
        <v>74</v>
      </c>
      <c r="BB631">
        <v>28</v>
      </c>
      <c r="BC631">
        <v>35</v>
      </c>
      <c r="BD631" t="s">
        <v>74</v>
      </c>
      <c r="BE631" t="s">
        <v>2700</v>
      </c>
      <c r="BF631" t="str">
        <f>HYPERLINK("http://dx.doi.org/10.1016/j.bbrc.2021.08.046","http://dx.doi.org/10.1016/j.bbrc.2021.08.046")</f>
        <v>http://dx.doi.org/10.1016/j.bbrc.2021.08.046</v>
      </c>
      <c r="BG631" t="s">
        <v>74</v>
      </c>
      <c r="BH631" t="s">
        <v>661</v>
      </c>
      <c r="BI631" t="s">
        <v>74</v>
      </c>
      <c r="BJ631" t="s">
        <v>2701</v>
      </c>
      <c r="BK631" t="s">
        <v>112</v>
      </c>
      <c r="BL631" t="s">
        <v>2701</v>
      </c>
      <c r="BM631" t="s">
        <v>74</v>
      </c>
      <c r="BN631">
        <v>34454177</v>
      </c>
      <c r="BO631" t="s">
        <v>74</v>
      </c>
      <c r="BP631" t="s">
        <v>74</v>
      </c>
      <c r="BQ631" t="s">
        <v>74</v>
      </c>
      <c r="BR631" t="s">
        <v>93</v>
      </c>
      <c r="BS631" t="s">
        <v>2702</v>
      </c>
      <c r="BT631" t="str">
        <f>HYPERLINK("https%3A%2F%2Fwww.webofscience.com%2Fwos%2Fwoscc%2Ffull-record%2FWOS:000690505600003","View Full Record in Web of Science")</f>
        <v>View Full Record in Web of Science</v>
      </c>
    </row>
    <row r="632" spans="1:72" x14ac:dyDescent="0.15">
      <c r="A632" t="s">
        <v>72</v>
      </c>
      <c r="B632" t="s">
        <v>2922</v>
      </c>
      <c r="C632" t="s">
        <v>74</v>
      </c>
      <c r="D632" t="s">
        <v>74</v>
      </c>
      <c r="E632" t="s">
        <v>74</v>
      </c>
      <c r="F632" t="s">
        <v>2923</v>
      </c>
      <c r="G632" t="s">
        <v>74</v>
      </c>
      <c r="H632" t="s">
        <v>74</v>
      </c>
      <c r="I632" t="s">
        <v>2924</v>
      </c>
      <c r="J632" t="s">
        <v>2925</v>
      </c>
      <c r="K632" t="s">
        <v>74</v>
      </c>
      <c r="L632" t="s">
        <v>74</v>
      </c>
      <c r="M632" t="s">
        <v>74</v>
      </c>
      <c r="N632" t="s">
        <v>78</v>
      </c>
      <c r="O632" t="s">
        <v>74</v>
      </c>
      <c r="P632" t="s">
        <v>74</v>
      </c>
      <c r="Q632" t="s">
        <v>74</v>
      </c>
      <c r="R632" t="s">
        <v>74</v>
      </c>
      <c r="S632" t="s">
        <v>74</v>
      </c>
      <c r="T632" t="s">
        <v>2926</v>
      </c>
      <c r="U632" t="s">
        <v>2927</v>
      </c>
      <c r="V632" t="s">
        <v>2928</v>
      </c>
      <c r="W632" t="s">
        <v>2929</v>
      </c>
      <c r="X632" t="s">
        <v>2930</v>
      </c>
      <c r="Y632" t="s">
        <v>2931</v>
      </c>
      <c r="Z632" t="s">
        <v>2932</v>
      </c>
      <c r="AA632" t="s">
        <v>74</v>
      </c>
      <c r="AB632" t="s">
        <v>74</v>
      </c>
      <c r="AC632" t="s">
        <v>74</v>
      </c>
      <c r="AD632" t="s">
        <v>74</v>
      </c>
      <c r="AE632" t="s">
        <v>74</v>
      </c>
      <c r="AF632" t="s">
        <v>74</v>
      </c>
      <c r="AG632">
        <v>36</v>
      </c>
      <c r="AH632">
        <v>1</v>
      </c>
      <c r="AI632">
        <v>1</v>
      </c>
      <c r="AJ632">
        <v>0</v>
      </c>
      <c r="AK632">
        <v>4</v>
      </c>
      <c r="AL632" t="s">
        <v>74</v>
      </c>
      <c r="AM632" t="s">
        <v>74</v>
      </c>
      <c r="AN632" t="s">
        <v>74</v>
      </c>
      <c r="AO632" t="s">
        <v>2933</v>
      </c>
      <c r="AP632" t="s">
        <v>2934</v>
      </c>
      <c r="AQ632" t="s">
        <v>74</v>
      </c>
      <c r="AR632" t="s">
        <v>74</v>
      </c>
      <c r="AS632" t="s">
        <v>74</v>
      </c>
      <c r="AT632" t="s">
        <v>437</v>
      </c>
      <c r="AU632">
        <v>2017</v>
      </c>
      <c r="AV632">
        <v>6</v>
      </c>
      <c r="AW632" t="s">
        <v>74</v>
      </c>
      <c r="AX632" t="s">
        <v>74</v>
      </c>
      <c r="AY632">
        <v>8</v>
      </c>
      <c r="AZ632" t="s">
        <v>74</v>
      </c>
      <c r="BA632" t="s">
        <v>74</v>
      </c>
      <c r="BB632" t="s">
        <v>2935</v>
      </c>
      <c r="BC632" t="s">
        <v>2936</v>
      </c>
      <c r="BD632" t="s">
        <v>74</v>
      </c>
      <c r="BE632" t="s">
        <v>2937</v>
      </c>
      <c r="BF632" t="str">
        <f>HYPERLINK("http://dx.doi.org/10.21037/tcr.2017.08.14","http://dx.doi.org/10.21037/tcr.2017.08.14")</f>
        <v>http://dx.doi.org/10.21037/tcr.2017.08.14</v>
      </c>
      <c r="BG632" t="s">
        <v>74</v>
      </c>
      <c r="BH632" t="s">
        <v>74</v>
      </c>
      <c r="BI632" t="s">
        <v>74</v>
      </c>
      <c r="BJ632" t="s">
        <v>146</v>
      </c>
      <c r="BK632" t="s">
        <v>112</v>
      </c>
      <c r="BL632" t="s">
        <v>146</v>
      </c>
      <c r="BM632" t="s">
        <v>74</v>
      </c>
      <c r="BN632" t="s">
        <v>74</v>
      </c>
      <c r="BO632" t="s">
        <v>74</v>
      </c>
      <c r="BP632" t="s">
        <v>74</v>
      </c>
      <c r="BQ632" t="s">
        <v>74</v>
      </c>
      <c r="BR632" t="s">
        <v>93</v>
      </c>
      <c r="BS632" t="s">
        <v>2938</v>
      </c>
      <c r="BT632" t="str">
        <f>HYPERLINK("https%3A%2F%2Fwww.webofscience.com%2Fwos%2Fwoscc%2Ffull-record%2FWOS:000413979800002","View Full Record in Web of Science")</f>
        <v>View Full Record in Web of Science</v>
      </c>
    </row>
    <row r="633" spans="1:72" x14ac:dyDescent="0.15">
      <c r="A633" t="s">
        <v>72</v>
      </c>
      <c r="B633" t="s">
        <v>3007</v>
      </c>
      <c r="C633" t="s">
        <v>74</v>
      </c>
      <c r="D633" t="s">
        <v>74</v>
      </c>
      <c r="E633" t="s">
        <v>74</v>
      </c>
      <c r="F633" t="s">
        <v>3008</v>
      </c>
      <c r="G633" t="s">
        <v>74</v>
      </c>
      <c r="H633" t="s">
        <v>74</v>
      </c>
      <c r="I633" t="s">
        <v>3009</v>
      </c>
      <c r="J633" t="s">
        <v>2094</v>
      </c>
      <c r="K633" t="s">
        <v>74</v>
      </c>
      <c r="L633" t="s">
        <v>74</v>
      </c>
      <c r="M633" t="s">
        <v>74</v>
      </c>
      <c r="N633" t="s">
        <v>78</v>
      </c>
      <c r="O633" t="s">
        <v>74</v>
      </c>
      <c r="P633" t="s">
        <v>74</v>
      </c>
      <c r="Q633" t="s">
        <v>74</v>
      </c>
      <c r="R633" t="s">
        <v>74</v>
      </c>
      <c r="S633" t="s">
        <v>74</v>
      </c>
      <c r="T633" t="s">
        <v>3010</v>
      </c>
      <c r="U633" t="s">
        <v>74</v>
      </c>
      <c r="V633" t="s">
        <v>3011</v>
      </c>
      <c r="W633" t="s">
        <v>3012</v>
      </c>
      <c r="X633" t="s">
        <v>3013</v>
      </c>
      <c r="Y633" t="s">
        <v>3014</v>
      </c>
      <c r="Z633" t="s">
        <v>3015</v>
      </c>
      <c r="AA633" t="s">
        <v>74</v>
      </c>
      <c r="AB633" t="s">
        <v>3016</v>
      </c>
      <c r="AC633" t="s">
        <v>74</v>
      </c>
      <c r="AD633" t="s">
        <v>74</v>
      </c>
      <c r="AE633" t="s">
        <v>74</v>
      </c>
      <c r="AF633" t="s">
        <v>74</v>
      </c>
      <c r="AG633">
        <v>51</v>
      </c>
      <c r="AH633">
        <v>1</v>
      </c>
      <c r="AI633">
        <v>1</v>
      </c>
      <c r="AJ633">
        <v>3</v>
      </c>
      <c r="AK633">
        <v>7</v>
      </c>
      <c r="AL633" t="s">
        <v>74</v>
      </c>
      <c r="AM633" t="s">
        <v>74</v>
      </c>
      <c r="AN633" t="s">
        <v>74</v>
      </c>
      <c r="AO633" t="s">
        <v>74</v>
      </c>
      <c r="AP633" t="s">
        <v>2103</v>
      </c>
      <c r="AQ633" t="s">
        <v>74</v>
      </c>
      <c r="AR633" t="s">
        <v>74</v>
      </c>
      <c r="AS633" t="s">
        <v>74</v>
      </c>
      <c r="AT633" t="s">
        <v>129</v>
      </c>
      <c r="AU633">
        <v>2021</v>
      </c>
      <c r="AV633">
        <v>10</v>
      </c>
      <c r="AW633">
        <v>4</v>
      </c>
      <c r="AX633" t="s">
        <v>74</v>
      </c>
      <c r="AY633" t="s">
        <v>74</v>
      </c>
      <c r="AZ633" t="s">
        <v>74</v>
      </c>
      <c r="BA633" t="s">
        <v>74</v>
      </c>
      <c r="BB633" t="s">
        <v>74</v>
      </c>
      <c r="BC633" t="s">
        <v>74</v>
      </c>
      <c r="BD633">
        <v>819</v>
      </c>
      <c r="BE633" t="s">
        <v>3017</v>
      </c>
      <c r="BF633" t="str">
        <f>HYPERLINK("http://dx.doi.org/10.3390/cells10040819","http://dx.doi.org/10.3390/cells10040819")</f>
        <v>http://dx.doi.org/10.3390/cells10040819</v>
      </c>
      <c r="BG633" t="s">
        <v>74</v>
      </c>
      <c r="BH633" t="s">
        <v>74</v>
      </c>
      <c r="BI633" t="s">
        <v>74</v>
      </c>
      <c r="BJ633" t="s">
        <v>419</v>
      </c>
      <c r="BK633" t="s">
        <v>112</v>
      </c>
      <c r="BL633" t="s">
        <v>419</v>
      </c>
      <c r="BM633" t="s">
        <v>74</v>
      </c>
      <c r="BN633">
        <v>33917426</v>
      </c>
      <c r="BO633" t="s">
        <v>74</v>
      </c>
      <c r="BP633" t="s">
        <v>74</v>
      </c>
      <c r="BQ633" t="s">
        <v>74</v>
      </c>
      <c r="BR633" t="s">
        <v>93</v>
      </c>
      <c r="BS633" t="s">
        <v>3018</v>
      </c>
      <c r="BT633" t="str">
        <f>HYPERLINK("https%3A%2F%2Fwww.webofscience.com%2Fwos%2Fwoscc%2Ffull-record%2FWOS:000642852400001","View Full Record in Web of Science")</f>
        <v>View Full Record in Web of Science</v>
      </c>
    </row>
    <row r="634" spans="1:72" x14ac:dyDescent="0.15">
      <c r="A634" t="s">
        <v>72</v>
      </c>
      <c r="B634" t="s">
        <v>3157</v>
      </c>
      <c r="C634" t="s">
        <v>74</v>
      </c>
      <c r="D634" t="s">
        <v>74</v>
      </c>
      <c r="E634" t="s">
        <v>74</v>
      </c>
      <c r="F634" t="s">
        <v>3158</v>
      </c>
      <c r="G634" t="s">
        <v>74</v>
      </c>
      <c r="H634" t="s">
        <v>74</v>
      </c>
      <c r="I634" t="s">
        <v>3159</v>
      </c>
      <c r="J634" t="s">
        <v>3160</v>
      </c>
      <c r="K634" t="s">
        <v>74</v>
      </c>
      <c r="L634" t="s">
        <v>74</v>
      </c>
      <c r="M634" t="s">
        <v>74</v>
      </c>
      <c r="N634" t="s">
        <v>78</v>
      </c>
      <c r="O634" t="s">
        <v>74</v>
      </c>
      <c r="P634" t="s">
        <v>74</v>
      </c>
      <c r="Q634" t="s">
        <v>74</v>
      </c>
      <c r="R634" t="s">
        <v>74</v>
      </c>
      <c r="S634" t="s">
        <v>74</v>
      </c>
      <c r="T634" t="s">
        <v>3161</v>
      </c>
      <c r="U634" t="s">
        <v>3162</v>
      </c>
      <c r="V634" t="s">
        <v>3163</v>
      </c>
      <c r="W634" t="s">
        <v>3164</v>
      </c>
      <c r="X634" t="s">
        <v>3165</v>
      </c>
      <c r="Y634" t="s">
        <v>3166</v>
      </c>
      <c r="Z634" t="s">
        <v>3167</v>
      </c>
      <c r="AA634" t="s">
        <v>3168</v>
      </c>
      <c r="AB634" t="s">
        <v>3169</v>
      </c>
      <c r="AC634" t="s">
        <v>74</v>
      </c>
      <c r="AD634" t="s">
        <v>74</v>
      </c>
      <c r="AE634" t="s">
        <v>74</v>
      </c>
      <c r="AF634" t="s">
        <v>74</v>
      </c>
      <c r="AG634">
        <v>39</v>
      </c>
      <c r="AH634">
        <v>1</v>
      </c>
      <c r="AI634">
        <v>1</v>
      </c>
      <c r="AJ634">
        <v>10</v>
      </c>
      <c r="AK634">
        <v>14</v>
      </c>
      <c r="AL634" t="s">
        <v>74</v>
      </c>
      <c r="AM634" t="s">
        <v>74</v>
      </c>
      <c r="AN634" t="s">
        <v>74</v>
      </c>
      <c r="AO634" t="s">
        <v>3170</v>
      </c>
      <c r="AP634" t="s">
        <v>3171</v>
      </c>
      <c r="AQ634" t="s">
        <v>74</v>
      </c>
      <c r="AR634" t="s">
        <v>74</v>
      </c>
      <c r="AS634" t="s">
        <v>74</v>
      </c>
      <c r="AT634" t="s">
        <v>818</v>
      </c>
      <c r="AU634">
        <v>2022</v>
      </c>
      <c r="AV634">
        <v>43</v>
      </c>
      <c r="AW634">
        <v>8</v>
      </c>
      <c r="AX634" t="s">
        <v>74</v>
      </c>
      <c r="AY634" t="s">
        <v>74</v>
      </c>
      <c r="AZ634" t="s">
        <v>74</v>
      </c>
      <c r="BA634" t="s">
        <v>74</v>
      </c>
      <c r="BB634">
        <v>2026</v>
      </c>
      <c r="BC634">
        <v>2041</v>
      </c>
      <c r="BD634" t="s">
        <v>74</v>
      </c>
      <c r="BE634" t="s">
        <v>3172</v>
      </c>
      <c r="BF634" t="str">
        <f>HYPERLINK("http://dx.doi.org/10.1038/s41401-021-00843-w","http://dx.doi.org/10.1038/s41401-021-00843-w")</f>
        <v>http://dx.doi.org/10.1038/s41401-021-00843-w</v>
      </c>
      <c r="BG634" t="s">
        <v>74</v>
      </c>
      <c r="BH634" t="s">
        <v>3173</v>
      </c>
      <c r="BI634" t="s">
        <v>74</v>
      </c>
      <c r="BJ634" t="s">
        <v>1424</v>
      </c>
      <c r="BK634" t="s">
        <v>112</v>
      </c>
      <c r="BL634" t="s">
        <v>1425</v>
      </c>
      <c r="BM634" t="s">
        <v>74</v>
      </c>
      <c r="BN634">
        <v>35027662</v>
      </c>
      <c r="BO634" t="s">
        <v>74</v>
      </c>
      <c r="BP634" t="s">
        <v>74</v>
      </c>
      <c r="BQ634" t="s">
        <v>74</v>
      </c>
      <c r="BR634" t="s">
        <v>93</v>
      </c>
      <c r="BS634" t="s">
        <v>3174</v>
      </c>
      <c r="BT634" t="str">
        <f>HYPERLINK("https%3A%2F%2Fwww.webofscience.com%2Fwos%2Fwoscc%2Ffull-record%2FWOS:000742317600001","View Full Record in Web of Science")</f>
        <v>View Full Record in Web of Science</v>
      </c>
    </row>
    <row r="635" spans="1:72" x14ac:dyDescent="0.15">
      <c r="A635" t="s">
        <v>72</v>
      </c>
      <c r="B635" t="s">
        <v>3282</v>
      </c>
      <c r="C635" t="s">
        <v>74</v>
      </c>
      <c r="D635" t="s">
        <v>74</v>
      </c>
      <c r="E635" t="s">
        <v>74</v>
      </c>
      <c r="F635" t="s">
        <v>3283</v>
      </c>
      <c r="G635" t="s">
        <v>74</v>
      </c>
      <c r="H635" t="s">
        <v>74</v>
      </c>
      <c r="I635" t="s">
        <v>3284</v>
      </c>
      <c r="J635" t="s">
        <v>3285</v>
      </c>
      <c r="K635" t="s">
        <v>74</v>
      </c>
      <c r="L635" t="s">
        <v>74</v>
      </c>
      <c r="M635" t="s">
        <v>74</v>
      </c>
      <c r="N635" t="s">
        <v>78</v>
      </c>
      <c r="O635" t="s">
        <v>74</v>
      </c>
      <c r="P635" t="s">
        <v>74</v>
      </c>
      <c r="Q635" t="s">
        <v>74</v>
      </c>
      <c r="R635" t="s">
        <v>74</v>
      </c>
      <c r="S635" t="s">
        <v>74</v>
      </c>
      <c r="T635" t="s">
        <v>3286</v>
      </c>
      <c r="U635" t="s">
        <v>3287</v>
      </c>
      <c r="V635" t="s">
        <v>3288</v>
      </c>
      <c r="W635" t="s">
        <v>3289</v>
      </c>
      <c r="X635" t="s">
        <v>3290</v>
      </c>
      <c r="Y635" t="s">
        <v>3291</v>
      </c>
      <c r="Z635" t="s">
        <v>3292</v>
      </c>
      <c r="AA635" t="s">
        <v>74</v>
      </c>
      <c r="AB635" t="s">
        <v>3293</v>
      </c>
      <c r="AC635" t="s">
        <v>74</v>
      </c>
      <c r="AD635" t="s">
        <v>74</v>
      </c>
      <c r="AE635" t="s">
        <v>74</v>
      </c>
      <c r="AF635" t="s">
        <v>74</v>
      </c>
      <c r="AG635">
        <v>51</v>
      </c>
      <c r="AH635">
        <v>1</v>
      </c>
      <c r="AI635">
        <v>1</v>
      </c>
      <c r="AJ635">
        <v>0</v>
      </c>
      <c r="AK635">
        <v>5</v>
      </c>
      <c r="AL635" t="s">
        <v>74</v>
      </c>
      <c r="AM635" t="s">
        <v>74</v>
      </c>
      <c r="AN635" t="s">
        <v>74</v>
      </c>
      <c r="AO635" t="s">
        <v>74</v>
      </c>
      <c r="AP635" t="s">
        <v>3294</v>
      </c>
      <c r="AQ635" t="s">
        <v>74</v>
      </c>
      <c r="AR635" t="s">
        <v>74</v>
      </c>
      <c r="AS635" t="s">
        <v>74</v>
      </c>
      <c r="AT635" t="s">
        <v>3295</v>
      </c>
      <c r="AU635">
        <v>2021</v>
      </c>
      <c r="AV635">
        <v>12</v>
      </c>
      <c r="AW635">
        <v>1</v>
      </c>
      <c r="AX635" t="s">
        <v>74</v>
      </c>
      <c r="AY635" t="s">
        <v>74</v>
      </c>
      <c r="AZ635" t="s">
        <v>74</v>
      </c>
      <c r="BA635" t="s">
        <v>74</v>
      </c>
      <c r="BB635" t="s">
        <v>74</v>
      </c>
      <c r="BC635" t="s">
        <v>74</v>
      </c>
      <c r="BD635">
        <v>568</v>
      </c>
      <c r="BE635" t="s">
        <v>3296</v>
      </c>
      <c r="BF635" t="str">
        <f>HYPERLINK("http://dx.doi.org/10.1186/s13287-021-02641-x","http://dx.doi.org/10.1186/s13287-021-02641-x")</f>
        <v>http://dx.doi.org/10.1186/s13287-021-02641-x</v>
      </c>
      <c r="BG635" t="s">
        <v>74</v>
      </c>
      <c r="BH635" t="s">
        <v>74</v>
      </c>
      <c r="BI635" t="s">
        <v>74</v>
      </c>
      <c r="BJ635" t="s">
        <v>3297</v>
      </c>
      <c r="BK635" t="s">
        <v>112</v>
      </c>
      <c r="BL635" t="s">
        <v>3298</v>
      </c>
      <c r="BM635" t="s">
        <v>74</v>
      </c>
      <c r="BN635">
        <v>34772443</v>
      </c>
      <c r="BO635" t="s">
        <v>74</v>
      </c>
      <c r="BP635" t="s">
        <v>74</v>
      </c>
      <c r="BQ635" t="s">
        <v>74</v>
      </c>
      <c r="BR635" t="s">
        <v>93</v>
      </c>
      <c r="BS635" t="s">
        <v>3299</v>
      </c>
      <c r="BT635" t="str">
        <f>HYPERLINK("https%3A%2F%2Fwww.webofscience.com%2Fwos%2Fwoscc%2Ffull-record%2FWOS:000717992400003","View Full Record in Web of Science")</f>
        <v>View Full Record in Web of Science</v>
      </c>
    </row>
    <row r="636" spans="1:72" x14ac:dyDescent="0.15">
      <c r="A636" t="s">
        <v>72</v>
      </c>
      <c r="B636" t="s">
        <v>3993</v>
      </c>
      <c r="C636" t="s">
        <v>74</v>
      </c>
      <c r="D636" t="s">
        <v>74</v>
      </c>
      <c r="E636" t="s">
        <v>74</v>
      </c>
      <c r="F636" t="s">
        <v>3994</v>
      </c>
      <c r="G636" t="s">
        <v>74</v>
      </c>
      <c r="H636" t="s">
        <v>74</v>
      </c>
      <c r="I636" t="s">
        <v>3995</v>
      </c>
      <c r="J636" t="s">
        <v>1828</v>
      </c>
      <c r="K636" t="s">
        <v>74</v>
      </c>
      <c r="L636" t="s">
        <v>74</v>
      </c>
      <c r="M636" t="s">
        <v>74</v>
      </c>
      <c r="N636" t="s">
        <v>78</v>
      </c>
      <c r="O636" t="s">
        <v>74</v>
      </c>
      <c r="P636" t="s">
        <v>74</v>
      </c>
      <c r="Q636" t="s">
        <v>74</v>
      </c>
      <c r="R636" t="s">
        <v>74</v>
      </c>
      <c r="S636" t="s">
        <v>74</v>
      </c>
      <c r="T636" t="s">
        <v>74</v>
      </c>
      <c r="U636" t="s">
        <v>3996</v>
      </c>
      <c r="V636" t="s">
        <v>3997</v>
      </c>
      <c r="W636" t="s">
        <v>3998</v>
      </c>
      <c r="X636" t="s">
        <v>3999</v>
      </c>
      <c r="Y636" t="s">
        <v>4000</v>
      </c>
      <c r="Z636" t="s">
        <v>4001</v>
      </c>
      <c r="AA636" t="s">
        <v>74</v>
      </c>
      <c r="AB636" t="s">
        <v>74</v>
      </c>
      <c r="AC636" t="s">
        <v>74</v>
      </c>
      <c r="AD636" t="s">
        <v>74</v>
      </c>
      <c r="AE636" t="s">
        <v>74</v>
      </c>
      <c r="AF636" t="s">
        <v>74</v>
      </c>
      <c r="AG636">
        <v>55</v>
      </c>
      <c r="AH636">
        <v>1</v>
      </c>
      <c r="AI636">
        <v>1</v>
      </c>
      <c r="AJ636">
        <v>7</v>
      </c>
      <c r="AK636">
        <v>17</v>
      </c>
      <c r="AL636" t="s">
        <v>74</v>
      </c>
      <c r="AM636" t="s">
        <v>74</v>
      </c>
      <c r="AN636" t="s">
        <v>74</v>
      </c>
      <c r="AO636" t="s">
        <v>1837</v>
      </c>
      <c r="AP636" t="s">
        <v>74</v>
      </c>
      <c r="AQ636" t="s">
        <v>74</v>
      </c>
      <c r="AR636" t="s">
        <v>74</v>
      </c>
      <c r="AS636" t="s">
        <v>74</v>
      </c>
      <c r="AT636" t="s">
        <v>2243</v>
      </c>
      <c r="AU636">
        <v>2021</v>
      </c>
      <c r="AV636">
        <v>11</v>
      </c>
      <c r="AW636">
        <v>1</v>
      </c>
      <c r="AX636" t="s">
        <v>74</v>
      </c>
      <c r="AY636" t="s">
        <v>74</v>
      </c>
      <c r="AZ636" t="s">
        <v>74</v>
      </c>
      <c r="BA636" t="s">
        <v>74</v>
      </c>
      <c r="BB636" t="s">
        <v>74</v>
      </c>
      <c r="BC636" t="s">
        <v>74</v>
      </c>
      <c r="BD636">
        <v>12477</v>
      </c>
      <c r="BE636" t="s">
        <v>4002</v>
      </c>
      <c r="BF636" t="str">
        <f>HYPERLINK("http://dx.doi.org/10.1038/s41598-021-92012-6","http://dx.doi.org/10.1038/s41598-021-92012-6")</f>
        <v>http://dx.doi.org/10.1038/s41598-021-92012-6</v>
      </c>
      <c r="BG636" t="s">
        <v>74</v>
      </c>
      <c r="BH636" t="s">
        <v>74</v>
      </c>
      <c r="BI636" t="s">
        <v>74</v>
      </c>
      <c r="BJ636" t="s">
        <v>545</v>
      </c>
      <c r="BK636" t="s">
        <v>112</v>
      </c>
      <c r="BL636" t="s">
        <v>546</v>
      </c>
      <c r="BM636" t="s">
        <v>74</v>
      </c>
      <c r="BN636">
        <v>34127763</v>
      </c>
      <c r="BO636" t="s">
        <v>74</v>
      </c>
      <c r="BP636" t="s">
        <v>74</v>
      </c>
      <c r="BQ636" t="s">
        <v>74</v>
      </c>
      <c r="BR636" t="s">
        <v>93</v>
      </c>
      <c r="BS636" t="s">
        <v>4003</v>
      </c>
      <c r="BT636" t="str">
        <f>HYPERLINK("https%3A%2F%2Fwww.webofscience.com%2Fwos%2Fwoscc%2Ffull-record%2FWOS:000696753700063","View Full Record in Web of Science")</f>
        <v>View Full Record in Web of Science</v>
      </c>
    </row>
    <row r="637" spans="1:72" x14ac:dyDescent="0.15">
      <c r="A637" t="s">
        <v>72</v>
      </c>
      <c r="B637" t="s">
        <v>4065</v>
      </c>
      <c r="C637" t="s">
        <v>74</v>
      </c>
      <c r="D637" t="s">
        <v>74</v>
      </c>
      <c r="E637" t="s">
        <v>74</v>
      </c>
      <c r="F637" t="s">
        <v>4066</v>
      </c>
      <c r="G637" t="s">
        <v>74</v>
      </c>
      <c r="H637" t="s">
        <v>74</v>
      </c>
      <c r="I637" t="s">
        <v>4067</v>
      </c>
      <c r="J637" t="s">
        <v>4068</v>
      </c>
      <c r="K637" t="s">
        <v>74</v>
      </c>
      <c r="L637" t="s">
        <v>74</v>
      </c>
      <c r="M637" t="s">
        <v>74</v>
      </c>
      <c r="N637" t="s">
        <v>78</v>
      </c>
      <c r="O637" t="s">
        <v>74</v>
      </c>
      <c r="P637" t="s">
        <v>74</v>
      </c>
      <c r="Q637" t="s">
        <v>74</v>
      </c>
      <c r="R637" t="s">
        <v>74</v>
      </c>
      <c r="S637" t="s">
        <v>74</v>
      </c>
      <c r="T637" t="s">
        <v>4069</v>
      </c>
      <c r="U637" t="s">
        <v>74</v>
      </c>
      <c r="V637" t="s">
        <v>4070</v>
      </c>
      <c r="W637" t="s">
        <v>4071</v>
      </c>
      <c r="X637" t="s">
        <v>4072</v>
      </c>
      <c r="Y637" t="s">
        <v>4073</v>
      </c>
      <c r="Z637" t="s">
        <v>4074</v>
      </c>
      <c r="AA637" t="s">
        <v>4075</v>
      </c>
      <c r="AB637" t="s">
        <v>4076</v>
      </c>
      <c r="AC637" t="s">
        <v>74</v>
      </c>
      <c r="AD637" t="s">
        <v>74</v>
      </c>
      <c r="AE637" t="s">
        <v>74</v>
      </c>
      <c r="AF637" t="s">
        <v>74</v>
      </c>
      <c r="AG637">
        <v>20</v>
      </c>
      <c r="AH637">
        <v>1</v>
      </c>
      <c r="AI637">
        <v>1</v>
      </c>
      <c r="AJ637">
        <v>3</v>
      </c>
      <c r="AK637">
        <v>3</v>
      </c>
      <c r="AL637" t="s">
        <v>74</v>
      </c>
      <c r="AM637" t="s">
        <v>74</v>
      </c>
      <c r="AN637" t="s">
        <v>74</v>
      </c>
      <c r="AO637" t="s">
        <v>4077</v>
      </c>
      <c r="AP637" t="s">
        <v>4078</v>
      </c>
      <c r="AQ637" t="s">
        <v>74</v>
      </c>
      <c r="AR637" t="s">
        <v>74</v>
      </c>
      <c r="AS637" t="s">
        <v>74</v>
      </c>
      <c r="AT637" t="s">
        <v>437</v>
      </c>
      <c r="AU637">
        <v>2021</v>
      </c>
      <c r="AV637">
        <v>31</v>
      </c>
      <c r="AW637">
        <v>5</v>
      </c>
      <c r="AX637" t="s">
        <v>74</v>
      </c>
      <c r="AY637" t="s">
        <v>74</v>
      </c>
      <c r="AZ637" t="s">
        <v>74</v>
      </c>
      <c r="BA637" t="s">
        <v>74</v>
      </c>
      <c r="BB637">
        <v>472</v>
      </c>
      <c r="BC637">
        <v>475</v>
      </c>
      <c r="BD637" t="s">
        <v>74</v>
      </c>
      <c r="BE637" t="s">
        <v>4079</v>
      </c>
      <c r="BF637" t="str">
        <f>HYPERLINK("http://dx.doi.org/10.1097/CMR.0000000000000762","http://dx.doi.org/10.1097/CMR.0000000000000762")</f>
        <v>http://dx.doi.org/10.1097/CMR.0000000000000762</v>
      </c>
      <c r="BG637" t="s">
        <v>74</v>
      </c>
      <c r="BH637" t="s">
        <v>74</v>
      </c>
      <c r="BI637" t="s">
        <v>74</v>
      </c>
      <c r="BJ637" t="s">
        <v>4080</v>
      </c>
      <c r="BK637" t="s">
        <v>112</v>
      </c>
      <c r="BL637" t="s">
        <v>4081</v>
      </c>
      <c r="BM637" t="s">
        <v>74</v>
      </c>
      <c r="BN637">
        <v>34284459</v>
      </c>
      <c r="BO637" t="s">
        <v>74</v>
      </c>
      <c r="BP637" t="s">
        <v>74</v>
      </c>
      <c r="BQ637" t="s">
        <v>74</v>
      </c>
      <c r="BR637" t="s">
        <v>93</v>
      </c>
      <c r="BS637" t="s">
        <v>4082</v>
      </c>
      <c r="BT637" t="str">
        <f>HYPERLINK("https%3A%2F%2Fwww.webofscience.com%2Fwos%2Fwoscc%2Ffull-record%2FWOS:000693941000009","View Full Record in Web of Science")</f>
        <v>View Full Record in Web of Science</v>
      </c>
    </row>
    <row r="638" spans="1:72" x14ac:dyDescent="0.15">
      <c r="A638" t="s">
        <v>72</v>
      </c>
      <c r="B638" t="s">
        <v>4201</v>
      </c>
      <c r="C638" t="s">
        <v>74</v>
      </c>
      <c r="D638" t="s">
        <v>74</v>
      </c>
      <c r="E638" t="s">
        <v>74</v>
      </c>
      <c r="F638" t="s">
        <v>4202</v>
      </c>
      <c r="G638" t="s">
        <v>74</v>
      </c>
      <c r="H638" t="s">
        <v>74</v>
      </c>
      <c r="I638" t="s">
        <v>4203</v>
      </c>
      <c r="J638" t="s">
        <v>667</v>
      </c>
      <c r="K638" t="s">
        <v>74</v>
      </c>
      <c r="L638" t="s">
        <v>74</v>
      </c>
      <c r="M638" t="s">
        <v>74</v>
      </c>
      <c r="N638" t="s">
        <v>78</v>
      </c>
      <c r="O638" t="s">
        <v>74</v>
      </c>
      <c r="P638" t="s">
        <v>74</v>
      </c>
      <c r="Q638" t="s">
        <v>74</v>
      </c>
      <c r="R638" t="s">
        <v>74</v>
      </c>
      <c r="S638" t="s">
        <v>74</v>
      </c>
      <c r="T638" t="s">
        <v>4204</v>
      </c>
      <c r="U638" t="s">
        <v>4205</v>
      </c>
      <c r="V638" t="s">
        <v>4206</v>
      </c>
      <c r="W638" t="s">
        <v>4207</v>
      </c>
      <c r="X638" t="s">
        <v>4208</v>
      </c>
      <c r="Y638" t="s">
        <v>4209</v>
      </c>
      <c r="Z638" t="s">
        <v>4210</v>
      </c>
      <c r="AA638" t="s">
        <v>4211</v>
      </c>
      <c r="AB638" t="s">
        <v>4212</v>
      </c>
      <c r="AC638" t="s">
        <v>74</v>
      </c>
      <c r="AD638" t="s">
        <v>74</v>
      </c>
      <c r="AE638" t="s">
        <v>74</v>
      </c>
      <c r="AF638" t="s">
        <v>74</v>
      </c>
      <c r="AG638">
        <v>99</v>
      </c>
      <c r="AH638">
        <v>1</v>
      </c>
      <c r="AI638">
        <v>1</v>
      </c>
      <c r="AJ638">
        <v>2</v>
      </c>
      <c r="AK638">
        <v>2</v>
      </c>
      <c r="AL638" t="s">
        <v>74</v>
      </c>
      <c r="AM638" t="s">
        <v>74</v>
      </c>
      <c r="AN638" t="s">
        <v>74</v>
      </c>
      <c r="AO638" t="s">
        <v>74</v>
      </c>
      <c r="AP638" t="s">
        <v>677</v>
      </c>
      <c r="AQ638" t="s">
        <v>74</v>
      </c>
      <c r="AR638" t="s">
        <v>74</v>
      </c>
      <c r="AS638" t="s">
        <v>74</v>
      </c>
      <c r="AT638" t="s">
        <v>640</v>
      </c>
      <c r="AU638">
        <v>2022</v>
      </c>
      <c r="AV638">
        <v>23</v>
      </c>
      <c r="AW638">
        <v>4</v>
      </c>
      <c r="AX638" t="s">
        <v>74</v>
      </c>
      <c r="AY638" t="s">
        <v>74</v>
      </c>
      <c r="AZ638" t="s">
        <v>74</v>
      </c>
      <c r="BA638" t="s">
        <v>74</v>
      </c>
      <c r="BB638" t="s">
        <v>74</v>
      </c>
      <c r="BC638" t="s">
        <v>74</v>
      </c>
      <c r="BD638">
        <v>2169</v>
      </c>
      <c r="BE638" t="s">
        <v>4213</v>
      </c>
      <c r="BF638" t="str">
        <f>HYPERLINK("http://dx.doi.org/10.3390/ijms23042169","http://dx.doi.org/10.3390/ijms23042169")</f>
        <v>http://dx.doi.org/10.3390/ijms23042169</v>
      </c>
      <c r="BG638" t="s">
        <v>74</v>
      </c>
      <c r="BH638" t="s">
        <v>74</v>
      </c>
      <c r="BI638" t="s">
        <v>74</v>
      </c>
      <c r="BJ638" t="s">
        <v>680</v>
      </c>
      <c r="BK638" t="s">
        <v>112</v>
      </c>
      <c r="BL638" t="s">
        <v>681</v>
      </c>
      <c r="BM638" t="s">
        <v>74</v>
      </c>
      <c r="BN638">
        <v>35216284</v>
      </c>
      <c r="BO638" t="s">
        <v>74</v>
      </c>
      <c r="BP638" t="s">
        <v>74</v>
      </c>
      <c r="BQ638" t="s">
        <v>74</v>
      </c>
      <c r="BR638" t="s">
        <v>93</v>
      </c>
      <c r="BS638" t="s">
        <v>4214</v>
      </c>
      <c r="BT638" t="str">
        <f>HYPERLINK("https%3A%2F%2Fwww.webofscience.com%2Fwos%2Fwoscc%2Ffull-record%2FWOS:000763693300001","View Full Record in Web of Science")</f>
        <v>View Full Record in Web of Science</v>
      </c>
    </row>
    <row r="639" spans="1:72" x14ac:dyDescent="0.15">
      <c r="A639" t="s">
        <v>72</v>
      </c>
      <c r="B639" t="s">
        <v>4519</v>
      </c>
      <c r="C639" t="s">
        <v>74</v>
      </c>
      <c r="D639" t="s">
        <v>74</v>
      </c>
      <c r="E639" t="s">
        <v>74</v>
      </c>
      <c r="F639" t="s">
        <v>4520</v>
      </c>
      <c r="G639" t="s">
        <v>74</v>
      </c>
      <c r="H639" t="s">
        <v>74</v>
      </c>
      <c r="I639" t="s">
        <v>4521</v>
      </c>
      <c r="J639" t="s">
        <v>4522</v>
      </c>
      <c r="K639" t="s">
        <v>74</v>
      </c>
      <c r="L639" t="s">
        <v>74</v>
      </c>
      <c r="M639" t="s">
        <v>74</v>
      </c>
      <c r="N639" t="s">
        <v>78</v>
      </c>
      <c r="O639" t="s">
        <v>74</v>
      </c>
      <c r="P639" t="s">
        <v>74</v>
      </c>
      <c r="Q639" t="s">
        <v>74</v>
      </c>
      <c r="R639" t="s">
        <v>74</v>
      </c>
      <c r="S639" t="s">
        <v>74</v>
      </c>
      <c r="T639" t="s">
        <v>4523</v>
      </c>
      <c r="U639" t="s">
        <v>4524</v>
      </c>
      <c r="V639" t="s">
        <v>4525</v>
      </c>
      <c r="W639" t="s">
        <v>4526</v>
      </c>
      <c r="X639" t="s">
        <v>4527</v>
      </c>
      <c r="Y639" t="s">
        <v>4528</v>
      </c>
      <c r="Z639" t="s">
        <v>4529</v>
      </c>
      <c r="AA639" t="s">
        <v>74</v>
      </c>
      <c r="AB639" t="s">
        <v>74</v>
      </c>
      <c r="AC639" t="s">
        <v>74</v>
      </c>
      <c r="AD639" t="s">
        <v>74</v>
      </c>
      <c r="AE639" t="s">
        <v>74</v>
      </c>
      <c r="AF639" t="s">
        <v>74</v>
      </c>
      <c r="AG639">
        <v>52</v>
      </c>
      <c r="AH639">
        <v>1</v>
      </c>
      <c r="AI639">
        <v>1</v>
      </c>
      <c r="AJ639">
        <v>86</v>
      </c>
      <c r="AK639">
        <v>93</v>
      </c>
      <c r="AL639" t="s">
        <v>74</v>
      </c>
      <c r="AM639" t="s">
        <v>74</v>
      </c>
      <c r="AN639" t="s">
        <v>74</v>
      </c>
      <c r="AO639" t="s">
        <v>4530</v>
      </c>
      <c r="AP639" t="s">
        <v>4531</v>
      </c>
      <c r="AQ639" t="s">
        <v>74</v>
      </c>
      <c r="AR639" t="s">
        <v>74</v>
      </c>
      <c r="AS639" t="s">
        <v>74</v>
      </c>
      <c r="AT639" t="s">
        <v>4471</v>
      </c>
      <c r="AU639">
        <v>2022</v>
      </c>
      <c r="AV639">
        <v>612</v>
      </c>
      <c r="AW639" t="s">
        <v>74</v>
      </c>
      <c r="AX639" t="s">
        <v>74</v>
      </c>
      <c r="AY639" t="s">
        <v>74</v>
      </c>
      <c r="AZ639" t="s">
        <v>74</v>
      </c>
      <c r="BA639" t="s">
        <v>74</v>
      </c>
      <c r="BB639">
        <v>424</v>
      </c>
      <c r="BC639">
        <v>433</v>
      </c>
      <c r="BD639" t="s">
        <v>74</v>
      </c>
      <c r="BE639" t="s">
        <v>4532</v>
      </c>
      <c r="BF639" t="str">
        <f>HYPERLINK("http://dx.doi.org/10.1016/j.jcis.2021.12.133","http://dx.doi.org/10.1016/j.jcis.2021.12.133")</f>
        <v>http://dx.doi.org/10.1016/j.jcis.2021.12.133</v>
      </c>
      <c r="BG639" t="s">
        <v>74</v>
      </c>
      <c r="BH639" t="s">
        <v>74</v>
      </c>
      <c r="BI639" t="s">
        <v>74</v>
      </c>
      <c r="BJ639" t="s">
        <v>4533</v>
      </c>
      <c r="BK639" t="s">
        <v>112</v>
      </c>
      <c r="BL639" t="s">
        <v>1197</v>
      </c>
      <c r="BM639" t="s">
        <v>74</v>
      </c>
      <c r="BN639">
        <v>34999547</v>
      </c>
      <c r="BO639" t="s">
        <v>74</v>
      </c>
      <c r="BP639" t="s">
        <v>74</v>
      </c>
      <c r="BQ639" t="s">
        <v>74</v>
      </c>
      <c r="BR639" t="s">
        <v>93</v>
      </c>
      <c r="BS639" t="s">
        <v>4534</v>
      </c>
      <c r="BT639" t="str">
        <f>HYPERLINK("https%3A%2F%2Fwww.webofscience.com%2Fwos%2Fwoscc%2Ffull-record%2FWOS:000750616800006","View Full Record in Web of Science")</f>
        <v>View Full Record in Web of Science</v>
      </c>
    </row>
    <row r="640" spans="1:72" x14ac:dyDescent="0.15">
      <c r="A640" t="s">
        <v>72</v>
      </c>
      <c r="B640" t="s">
        <v>4751</v>
      </c>
      <c r="C640" t="s">
        <v>74</v>
      </c>
      <c r="D640" t="s">
        <v>74</v>
      </c>
      <c r="E640" t="s">
        <v>74</v>
      </c>
      <c r="F640" t="s">
        <v>4752</v>
      </c>
      <c r="G640" t="s">
        <v>74</v>
      </c>
      <c r="H640" t="s">
        <v>74</v>
      </c>
      <c r="I640" t="s">
        <v>4753</v>
      </c>
      <c r="J640" t="s">
        <v>4754</v>
      </c>
      <c r="K640" t="s">
        <v>74</v>
      </c>
      <c r="L640" t="s">
        <v>74</v>
      </c>
      <c r="M640" t="s">
        <v>74</v>
      </c>
      <c r="N640" t="s">
        <v>78</v>
      </c>
      <c r="O640" t="s">
        <v>74</v>
      </c>
      <c r="P640" t="s">
        <v>74</v>
      </c>
      <c r="Q640" t="s">
        <v>74</v>
      </c>
      <c r="R640" t="s">
        <v>74</v>
      </c>
      <c r="S640" t="s">
        <v>74</v>
      </c>
      <c r="T640" t="s">
        <v>4755</v>
      </c>
      <c r="U640" t="s">
        <v>4756</v>
      </c>
      <c r="V640" t="s">
        <v>4757</v>
      </c>
      <c r="W640" t="s">
        <v>4758</v>
      </c>
      <c r="X640" t="s">
        <v>4759</v>
      </c>
      <c r="Y640" t="s">
        <v>4760</v>
      </c>
      <c r="Z640" t="s">
        <v>4761</v>
      </c>
      <c r="AA640" t="s">
        <v>74</v>
      </c>
      <c r="AB640" t="s">
        <v>4762</v>
      </c>
      <c r="AC640" t="s">
        <v>74</v>
      </c>
      <c r="AD640" t="s">
        <v>74</v>
      </c>
      <c r="AE640" t="s">
        <v>74</v>
      </c>
      <c r="AF640" t="s">
        <v>74</v>
      </c>
      <c r="AG640">
        <v>41</v>
      </c>
      <c r="AH640">
        <v>1</v>
      </c>
      <c r="AI640">
        <v>1</v>
      </c>
      <c r="AJ640">
        <v>9</v>
      </c>
      <c r="AK640">
        <v>23</v>
      </c>
      <c r="AL640" t="s">
        <v>74</v>
      </c>
      <c r="AM640" t="s">
        <v>74</v>
      </c>
      <c r="AN640" t="s">
        <v>74</v>
      </c>
      <c r="AO640" t="s">
        <v>4763</v>
      </c>
      <c r="AP640" t="s">
        <v>4764</v>
      </c>
      <c r="AQ640" t="s">
        <v>74</v>
      </c>
      <c r="AR640" t="s">
        <v>74</v>
      </c>
      <c r="AS640" t="s">
        <v>74</v>
      </c>
      <c r="AT640" t="s">
        <v>236</v>
      </c>
      <c r="AU640">
        <v>2021</v>
      </c>
      <c r="AV640">
        <v>170</v>
      </c>
      <c r="AW640" t="s">
        <v>74</v>
      </c>
      <c r="AX640" t="s">
        <v>74</v>
      </c>
      <c r="AY640" t="s">
        <v>74</v>
      </c>
      <c r="AZ640" t="s">
        <v>74</v>
      </c>
      <c r="BA640" t="s">
        <v>74</v>
      </c>
      <c r="BB640" t="s">
        <v>74</v>
      </c>
      <c r="BC640" t="s">
        <v>74</v>
      </c>
      <c r="BD640">
        <v>106772</v>
      </c>
      <c r="BE640" t="s">
        <v>4765</v>
      </c>
      <c r="BF640" t="str">
        <f>HYPERLINK("http://dx.doi.org/10.1016/j.microc.2021.106772","http://dx.doi.org/10.1016/j.microc.2021.106772")</f>
        <v>http://dx.doi.org/10.1016/j.microc.2021.106772</v>
      </c>
      <c r="BG640" t="s">
        <v>74</v>
      </c>
      <c r="BH640" t="s">
        <v>661</v>
      </c>
      <c r="BI640" t="s">
        <v>74</v>
      </c>
      <c r="BJ640" t="s">
        <v>1196</v>
      </c>
      <c r="BK640" t="s">
        <v>112</v>
      </c>
      <c r="BL640" t="s">
        <v>1197</v>
      </c>
      <c r="BM640" t="s">
        <v>74</v>
      </c>
      <c r="BN640" t="s">
        <v>74</v>
      </c>
      <c r="BO640" t="s">
        <v>74</v>
      </c>
      <c r="BP640" t="s">
        <v>74</v>
      </c>
      <c r="BQ640" t="s">
        <v>74</v>
      </c>
      <c r="BR640" t="s">
        <v>93</v>
      </c>
      <c r="BS640" t="s">
        <v>4766</v>
      </c>
      <c r="BT640" t="str">
        <f>HYPERLINK("https%3A%2F%2Fwww.webofscience.com%2Fwos%2Fwoscc%2Ffull-record%2FWOS:000697188400003","View Full Record in Web of Science")</f>
        <v>View Full Record in Web of Science</v>
      </c>
    </row>
    <row r="641" spans="1:72" x14ac:dyDescent="0.15">
      <c r="A641" t="s">
        <v>72</v>
      </c>
      <c r="B641" t="s">
        <v>4850</v>
      </c>
      <c r="C641" t="s">
        <v>74</v>
      </c>
      <c r="D641" t="s">
        <v>74</v>
      </c>
      <c r="E641" t="s">
        <v>74</v>
      </c>
      <c r="F641" t="s">
        <v>4851</v>
      </c>
      <c r="G641" t="s">
        <v>74</v>
      </c>
      <c r="H641" t="s">
        <v>74</v>
      </c>
      <c r="I641" t="s">
        <v>4852</v>
      </c>
      <c r="J641" t="s">
        <v>4853</v>
      </c>
      <c r="K641" t="s">
        <v>74</v>
      </c>
      <c r="L641" t="s">
        <v>74</v>
      </c>
      <c r="M641" t="s">
        <v>74</v>
      </c>
      <c r="N641" t="s">
        <v>78</v>
      </c>
      <c r="O641" t="s">
        <v>74</v>
      </c>
      <c r="P641" t="s">
        <v>74</v>
      </c>
      <c r="Q641" t="s">
        <v>74</v>
      </c>
      <c r="R641" t="s">
        <v>74</v>
      </c>
      <c r="S641" t="s">
        <v>74</v>
      </c>
      <c r="T641" t="s">
        <v>74</v>
      </c>
      <c r="U641" t="s">
        <v>4854</v>
      </c>
      <c r="V641" t="s">
        <v>4855</v>
      </c>
      <c r="W641" t="s">
        <v>4856</v>
      </c>
      <c r="X641" t="s">
        <v>4857</v>
      </c>
      <c r="Y641" t="s">
        <v>4858</v>
      </c>
      <c r="Z641" t="s">
        <v>4859</v>
      </c>
      <c r="AA641" t="s">
        <v>74</v>
      </c>
      <c r="AB641" t="s">
        <v>4860</v>
      </c>
      <c r="AC641" t="s">
        <v>74</v>
      </c>
      <c r="AD641" t="s">
        <v>74</v>
      </c>
      <c r="AE641" t="s">
        <v>74</v>
      </c>
      <c r="AF641" t="s">
        <v>74</v>
      </c>
      <c r="AG641">
        <v>41</v>
      </c>
      <c r="AH641">
        <v>1</v>
      </c>
      <c r="AI641">
        <v>1</v>
      </c>
      <c r="AJ641">
        <v>2</v>
      </c>
      <c r="AK641">
        <v>2</v>
      </c>
      <c r="AL641" t="s">
        <v>74</v>
      </c>
      <c r="AM641" t="s">
        <v>74</v>
      </c>
      <c r="AN641" t="s">
        <v>74</v>
      </c>
      <c r="AO641" t="s">
        <v>74</v>
      </c>
      <c r="AP641" t="s">
        <v>4861</v>
      </c>
      <c r="AQ641" t="s">
        <v>74</v>
      </c>
      <c r="AR641" t="s">
        <v>74</v>
      </c>
      <c r="AS641" t="s">
        <v>74</v>
      </c>
      <c r="AT641" t="s">
        <v>4862</v>
      </c>
      <c r="AU641">
        <v>2022</v>
      </c>
      <c r="AV641">
        <v>25</v>
      </c>
      <c r="AW641">
        <v>6</v>
      </c>
      <c r="AX641" t="s">
        <v>74</v>
      </c>
      <c r="AY641" t="s">
        <v>74</v>
      </c>
      <c r="AZ641" t="s">
        <v>74</v>
      </c>
      <c r="BA641" t="s">
        <v>74</v>
      </c>
      <c r="BB641" t="s">
        <v>74</v>
      </c>
      <c r="BC641" t="s">
        <v>74</v>
      </c>
      <c r="BD641">
        <v>104414</v>
      </c>
      <c r="BE641" t="s">
        <v>4863</v>
      </c>
      <c r="BF641" t="str">
        <f>HYPERLINK("http://dx.doi.org/10.1016/j.isci.2022.104414","http://dx.doi.org/10.1016/j.isci.2022.104414")</f>
        <v>http://dx.doi.org/10.1016/j.isci.2022.104414</v>
      </c>
      <c r="BG641" t="s">
        <v>74</v>
      </c>
      <c r="BH641" t="s">
        <v>74</v>
      </c>
      <c r="BI641" t="s">
        <v>74</v>
      </c>
      <c r="BJ641" t="s">
        <v>545</v>
      </c>
      <c r="BK641" t="s">
        <v>112</v>
      </c>
      <c r="BL641" t="s">
        <v>546</v>
      </c>
      <c r="BM641" t="s">
        <v>74</v>
      </c>
      <c r="BN641">
        <v>35663013</v>
      </c>
      <c r="BO641" t="s">
        <v>74</v>
      </c>
      <c r="BP641" t="s">
        <v>74</v>
      </c>
      <c r="BQ641" t="s">
        <v>74</v>
      </c>
      <c r="BR641" t="s">
        <v>93</v>
      </c>
      <c r="BS641" t="s">
        <v>4864</v>
      </c>
      <c r="BT641" t="str">
        <f>HYPERLINK("https%3A%2F%2Fwww.webofscience.com%2Fwos%2Fwoscc%2Ffull-record%2FWOS:000809645900003","View Full Record in Web of Science")</f>
        <v>View Full Record in Web of Science</v>
      </c>
    </row>
    <row r="642" spans="1:72" x14ac:dyDescent="0.15">
      <c r="A642" t="s">
        <v>72</v>
      </c>
      <c r="B642" t="s">
        <v>5091</v>
      </c>
      <c r="C642" t="s">
        <v>74</v>
      </c>
      <c r="D642" t="s">
        <v>74</v>
      </c>
      <c r="E642" t="s">
        <v>74</v>
      </c>
      <c r="F642" t="s">
        <v>5092</v>
      </c>
      <c r="G642" t="s">
        <v>74</v>
      </c>
      <c r="H642" t="s">
        <v>74</v>
      </c>
      <c r="I642" t="s">
        <v>5093</v>
      </c>
      <c r="J642" t="s">
        <v>4339</v>
      </c>
      <c r="K642" t="s">
        <v>74</v>
      </c>
      <c r="L642" t="s">
        <v>74</v>
      </c>
      <c r="M642" t="s">
        <v>74</v>
      </c>
      <c r="N642" t="s">
        <v>78</v>
      </c>
      <c r="O642" t="s">
        <v>74</v>
      </c>
      <c r="P642" t="s">
        <v>74</v>
      </c>
      <c r="Q642" t="s">
        <v>74</v>
      </c>
      <c r="R642" t="s">
        <v>74</v>
      </c>
      <c r="S642" t="s">
        <v>74</v>
      </c>
      <c r="T642" t="s">
        <v>5094</v>
      </c>
      <c r="U642" t="s">
        <v>5095</v>
      </c>
      <c r="V642" t="s">
        <v>5096</v>
      </c>
      <c r="W642" t="s">
        <v>5097</v>
      </c>
      <c r="X642" t="s">
        <v>5098</v>
      </c>
      <c r="Y642" t="s">
        <v>5099</v>
      </c>
      <c r="Z642" t="s">
        <v>5100</v>
      </c>
      <c r="AA642" t="s">
        <v>5101</v>
      </c>
      <c r="AB642" t="s">
        <v>5102</v>
      </c>
      <c r="AC642" t="s">
        <v>74</v>
      </c>
      <c r="AD642" t="s">
        <v>74</v>
      </c>
      <c r="AE642" t="s">
        <v>74</v>
      </c>
      <c r="AF642" t="s">
        <v>74</v>
      </c>
      <c r="AG642">
        <v>47</v>
      </c>
      <c r="AH642">
        <v>1</v>
      </c>
      <c r="AI642">
        <v>1</v>
      </c>
      <c r="AJ642">
        <v>0</v>
      </c>
      <c r="AK642">
        <v>1</v>
      </c>
      <c r="AL642" t="s">
        <v>74</v>
      </c>
      <c r="AM642" t="s">
        <v>74</v>
      </c>
      <c r="AN642" t="s">
        <v>74</v>
      </c>
      <c r="AO642" t="s">
        <v>4349</v>
      </c>
      <c r="AP642" t="s">
        <v>4350</v>
      </c>
      <c r="AQ642" t="s">
        <v>74</v>
      </c>
      <c r="AR642" t="s">
        <v>74</v>
      </c>
      <c r="AS642" t="s">
        <v>74</v>
      </c>
      <c r="AT642" t="s">
        <v>659</v>
      </c>
      <c r="AU642">
        <v>2021</v>
      </c>
      <c r="AV642">
        <v>100</v>
      </c>
      <c r="AW642">
        <v>9</v>
      </c>
      <c r="AX642" t="s">
        <v>74</v>
      </c>
      <c r="AY642" t="s">
        <v>74</v>
      </c>
      <c r="AZ642" t="s">
        <v>74</v>
      </c>
      <c r="BA642" t="s">
        <v>74</v>
      </c>
      <c r="BB642">
        <v>2241</v>
      </c>
      <c r="BC642">
        <v>2252</v>
      </c>
      <c r="BD642" t="s">
        <v>74</v>
      </c>
      <c r="BE642" t="s">
        <v>5103</v>
      </c>
      <c r="BF642" t="str">
        <f>HYPERLINK("http://dx.doi.org/10.1007/s00277-021-04579-9","http://dx.doi.org/10.1007/s00277-021-04579-9")</f>
        <v>http://dx.doi.org/10.1007/s00277-021-04579-9</v>
      </c>
      <c r="BG642" t="s">
        <v>74</v>
      </c>
      <c r="BH642" t="s">
        <v>1005</v>
      </c>
      <c r="BI642" t="s">
        <v>74</v>
      </c>
      <c r="BJ642" t="s">
        <v>1899</v>
      </c>
      <c r="BK642" t="s">
        <v>112</v>
      </c>
      <c r="BL642" t="s">
        <v>1899</v>
      </c>
      <c r="BM642" t="s">
        <v>74</v>
      </c>
      <c r="BN642">
        <v>34236496</v>
      </c>
      <c r="BO642" t="s">
        <v>74</v>
      </c>
      <c r="BP642" t="s">
        <v>74</v>
      </c>
      <c r="BQ642" t="s">
        <v>74</v>
      </c>
      <c r="BR642" t="s">
        <v>93</v>
      </c>
      <c r="BS642" t="s">
        <v>5104</v>
      </c>
      <c r="BT642" t="str">
        <f>HYPERLINK("https%3A%2F%2Fwww.webofscience.com%2Fwos%2Fwoscc%2Ffull-record%2FWOS:000670865600001","View Full Record in Web of Science")</f>
        <v>View Full Record in Web of Science</v>
      </c>
    </row>
    <row r="643" spans="1:72" x14ac:dyDescent="0.15">
      <c r="A643" t="s">
        <v>72</v>
      </c>
      <c r="B643" t="s">
        <v>5518</v>
      </c>
      <c r="C643" t="s">
        <v>74</v>
      </c>
      <c r="D643" t="s">
        <v>74</v>
      </c>
      <c r="E643" t="s">
        <v>74</v>
      </c>
      <c r="F643" t="s">
        <v>5519</v>
      </c>
      <c r="G643" t="s">
        <v>74</v>
      </c>
      <c r="H643" t="s">
        <v>74</v>
      </c>
      <c r="I643" t="s">
        <v>5520</v>
      </c>
      <c r="J643" t="s">
        <v>3571</v>
      </c>
      <c r="K643" t="s">
        <v>74</v>
      </c>
      <c r="L643" t="s">
        <v>74</v>
      </c>
      <c r="M643" t="s">
        <v>74</v>
      </c>
      <c r="N643" t="s">
        <v>78</v>
      </c>
      <c r="O643" t="s">
        <v>74</v>
      </c>
      <c r="P643" t="s">
        <v>74</v>
      </c>
      <c r="Q643" t="s">
        <v>74</v>
      </c>
      <c r="R643" t="s">
        <v>74</v>
      </c>
      <c r="S643" t="s">
        <v>74</v>
      </c>
      <c r="T643" t="s">
        <v>5521</v>
      </c>
      <c r="U643" t="s">
        <v>5522</v>
      </c>
      <c r="V643" t="s">
        <v>5523</v>
      </c>
      <c r="W643" t="s">
        <v>5524</v>
      </c>
      <c r="X643" t="s">
        <v>5525</v>
      </c>
      <c r="Y643" t="s">
        <v>5526</v>
      </c>
      <c r="Z643" t="s">
        <v>5527</v>
      </c>
      <c r="AA643" t="s">
        <v>74</v>
      </c>
      <c r="AB643" t="s">
        <v>74</v>
      </c>
      <c r="AC643" t="s">
        <v>74</v>
      </c>
      <c r="AD643" t="s">
        <v>74</v>
      </c>
      <c r="AE643" t="s">
        <v>74</v>
      </c>
      <c r="AF643" t="s">
        <v>74</v>
      </c>
      <c r="AG643">
        <v>45</v>
      </c>
      <c r="AH643">
        <v>1</v>
      </c>
      <c r="AI643">
        <v>1</v>
      </c>
      <c r="AJ643">
        <v>36</v>
      </c>
      <c r="AK643">
        <v>45</v>
      </c>
      <c r="AL643" t="s">
        <v>74</v>
      </c>
      <c r="AM643" t="s">
        <v>74</v>
      </c>
      <c r="AN643" t="s">
        <v>74</v>
      </c>
      <c r="AO643" t="s">
        <v>74</v>
      </c>
      <c r="AP643" t="s">
        <v>3579</v>
      </c>
      <c r="AQ643" t="s">
        <v>74</v>
      </c>
      <c r="AR643" t="s">
        <v>74</v>
      </c>
      <c r="AS643" t="s">
        <v>74</v>
      </c>
      <c r="AT643" t="s">
        <v>5528</v>
      </c>
      <c r="AU643">
        <v>2022</v>
      </c>
      <c r="AV643">
        <v>353</v>
      </c>
      <c r="AW643" t="s">
        <v>74</v>
      </c>
      <c r="AX643" t="s">
        <v>74</v>
      </c>
      <c r="AY643" t="s">
        <v>74</v>
      </c>
      <c r="AZ643" t="s">
        <v>74</v>
      </c>
      <c r="BA643" t="s">
        <v>74</v>
      </c>
      <c r="BB643" t="s">
        <v>74</v>
      </c>
      <c r="BC643" t="s">
        <v>74</v>
      </c>
      <c r="BD643">
        <v>131126</v>
      </c>
      <c r="BE643" t="s">
        <v>5529</v>
      </c>
      <c r="BF643" t="str">
        <f>HYPERLINK("http://dx.doi.org/10.1016/j.snb.2021.131126","http://dx.doi.org/10.1016/j.snb.2021.131126")</f>
        <v>http://dx.doi.org/10.1016/j.snb.2021.131126</v>
      </c>
      <c r="BG643" t="s">
        <v>74</v>
      </c>
      <c r="BH643" t="s">
        <v>820</v>
      </c>
      <c r="BI643" t="s">
        <v>74</v>
      </c>
      <c r="BJ643" t="s">
        <v>3582</v>
      </c>
      <c r="BK643" t="s">
        <v>112</v>
      </c>
      <c r="BL643" t="s">
        <v>3583</v>
      </c>
      <c r="BM643" t="s">
        <v>74</v>
      </c>
      <c r="BN643" t="s">
        <v>74</v>
      </c>
      <c r="BO643" t="s">
        <v>74</v>
      </c>
      <c r="BP643" t="s">
        <v>74</v>
      </c>
      <c r="BQ643" t="s">
        <v>74</v>
      </c>
      <c r="BR643" t="s">
        <v>93</v>
      </c>
      <c r="BS643" t="s">
        <v>5530</v>
      </c>
      <c r="BT643" t="str">
        <f>HYPERLINK("https%3A%2F%2Fwww.webofscience.com%2Fwos%2Fwoscc%2Ffull-record%2FWOS:000744546700003","View Full Record in Web of Science")</f>
        <v>View Full Record in Web of Science</v>
      </c>
    </row>
    <row r="644" spans="1:72" x14ac:dyDescent="0.15">
      <c r="A644" t="s">
        <v>72</v>
      </c>
      <c r="B644" t="s">
        <v>5531</v>
      </c>
      <c r="C644" t="s">
        <v>74</v>
      </c>
      <c r="D644" t="s">
        <v>74</v>
      </c>
      <c r="E644" t="s">
        <v>74</v>
      </c>
      <c r="F644" t="s">
        <v>5532</v>
      </c>
      <c r="G644" t="s">
        <v>74</v>
      </c>
      <c r="H644" t="s">
        <v>74</v>
      </c>
      <c r="I644" t="s">
        <v>5533</v>
      </c>
      <c r="J644" t="s">
        <v>2154</v>
      </c>
      <c r="K644" t="s">
        <v>74</v>
      </c>
      <c r="L644" t="s">
        <v>74</v>
      </c>
      <c r="M644" t="s">
        <v>74</v>
      </c>
      <c r="N644" t="s">
        <v>78</v>
      </c>
      <c r="O644" t="s">
        <v>74</v>
      </c>
      <c r="P644" t="s">
        <v>74</v>
      </c>
      <c r="Q644" t="s">
        <v>74</v>
      </c>
      <c r="R644" t="s">
        <v>74</v>
      </c>
      <c r="S644" t="s">
        <v>74</v>
      </c>
      <c r="T644" t="s">
        <v>74</v>
      </c>
      <c r="U644" t="s">
        <v>5534</v>
      </c>
      <c r="V644" t="s">
        <v>5535</v>
      </c>
      <c r="W644" t="s">
        <v>5536</v>
      </c>
      <c r="X644" t="s">
        <v>5537</v>
      </c>
      <c r="Y644" t="s">
        <v>5538</v>
      </c>
      <c r="Z644" t="s">
        <v>5539</v>
      </c>
      <c r="AA644" t="s">
        <v>5540</v>
      </c>
      <c r="AB644" t="s">
        <v>5541</v>
      </c>
      <c r="AC644" t="s">
        <v>74</v>
      </c>
      <c r="AD644" t="s">
        <v>74</v>
      </c>
      <c r="AE644" t="s">
        <v>74</v>
      </c>
      <c r="AF644" t="s">
        <v>74</v>
      </c>
      <c r="AG644">
        <v>52</v>
      </c>
      <c r="AH644">
        <v>1</v>
      </c>
      <c r="AI644">
        <v>1</v>
      </c>
      <c r="AJ644">
        <v>16</v>
      </c>
      <c r="AK644">
        <v>32</v>
      </c>
      <c r="AL644" t="s">
        <v>74</v>
      </c>
      <c r="AM644" t="s">
        <v>74</v>
      </c>
      <c r="AN644" t="s">
        <v>74</v>
      </c>
      <c r="AO644" t="s">
        <v>2161</v>
      </c>
      <c r="AP644" t="s">
        <v>2162</v>
      </c>
      <c r="AQ644" t="s">
        <v>74</v>
      </c>
      <c r="AR644" t="s">
        <v>74</v>
      </c>
      <c r="AS644" t="s">
        <v>74</v>
      </c>
      <c r="AT644" t="s">
        <v>1865</v>
      </c>
      <c r="AU644">
        <v>2021</v>
      </c>
      <c r="AV644">
        <v>21</v>
      </c>
      <c r="AW644">
        <v>23</v>
      </c>
      <c r="AX644" t="s">
        <v>74</v>
      </c>
      <c r="AY644" t="s">
        <v>74</v>
      </c>
      <c r="AZ644" t="s">
        <v>74</v>
      </c>
      <c r="BA644" t="s">
        <v>74</v>
      </c>
      <c r="BB644">
        <v>4660</v>
      </c>
      <c r="BC644">
        <v>4671</v>
      </c>
      <c r="BD644" t="s">
        <v>74</v>
      </c>
      <c r="BE644" t="s">
        <v>5542</v>
      </c>
      <c r="BF644" t="str">
        <f>HYPERLINK("http://dx.doi.org/10.1039/d1lc00663k","http://dx.doi.org/10.1039/d1lc00663k")</f>
        <v>http://dx.doi.org/10.1039/d1lc00663k</v>
      </c>
      <c r="BG644" t="s">
        <v>74</v>
      </c>
      <c r="BH644" t="s">
        <v>5543</v>
      </c>
      <c r="BI644" t="s">
        <v>74</v>
      </c>
      <c r="BJ644" t="s">
        <v>2164</v>
      </c>
      <c r="BK644" t="s">
        <v>112</v>
      </c>
      <c r="BL644" t="s">
        <v>2165</v>
      </c>
      <c r="BM644" t="s">
        <v>74</v>
      </c>
      <c r="BN644">
        <v>34739016</v>
      </c>
      <c r="BO644" t="s">
        <v>74</v>
      </c>
      <c r="BP644" t="s">
        <v>74</v>
      </c>
      <c r="BQ644" t="s">
        <v>74</v>
      </c>
      <c r="BR644" t="s">
        <v>93</v>
      </c>
      <c r="BS644" t="s">
        <v>5544</v>
      </c>
      <c r="BT644" t="str">
        <f>HYPERLINK("https%3A%2F%2Fwww.webofscience.com%2Fwos%2Fwoscc%2Ffull-record%2FWOS:000714701600001","View Full Record in Web of Science")</f>
        <v>View Full Record in Web of Science</v>
      </c>
    </row>
    <row r="645" spans="1:72" x14ac:dyDescent="0.15">
      <c r="A645" t="s">
        <v>72</v>
      </c>
      <c r="B645" t="s">
        <v>5881</v>
      </c>
      <c r="C645" t="s">
        <v>74</v>
      </c>
      <c r="D645" t="s">
        <v>74</v>
      </c>
      <c r="E645" t="s">
        <v>74</v>
      </c>
      <c r="F645" t="s">
        <v>5882</v>
      </c>
      <c r="G645" t="s">
        <v>74</v>
      </c>
      <c r="H645" t="s">
        <v>74</v>
      </c>
      <c r="I645" t="s">
        <v>5883</v>
      </c>
      <c r="J645" t="s">
        <v>667</v>
      </c>
      <c r="K645" t="s">
        <v>74</v>
      </c>
      <c r="L645" t="s">
        <v>74</v>
      </c>
      <c r="M645" t="s">
        <v>74</v>
      </c>
      <c r="N645" t="s">
        <v>78</v>
      </c>
      <c r="O645" t="s">
        <v>74</v>
      </c>
      <c r="P645" t="s">
        <v>74</v>
      </c>
      <c r="Q645" t="s">
        <v>74</v>
      </c>
      <c r="R645" t="s">
        <v>74</v>
      </c>
      <c r="S645" t="s">
        <v>74</v>
      </c>
      <c r="T645" t="s">
        <v>5884</v>
      </c>
      <c r="U645" t="s">
        <v>5885</v>
      </c>
      <c r="V645" t="s">
        <v>5886</v>
      </c>
      <c r="W645" t="s">
        <v>5887</v>
      </c>
      <c r="X645" t="s">
        <v>5888</v>
      </c>
      <c r="Y645" t="s">
        <v>5889</v>
      </c>
      <c r="Z645" t="s">
        <v>5890</v>
      </c>
      <c r="AA645" t="s">
        <v>74</v>
      </c>
      <c r="AB645" t="s">
        <v>5891</v>
      </c>
      <c r="AC645" t="s">
        <v>74</v>
      </c>
      <c r="AD645" t="s">
        <v>74</v>
      </c>
      <c r="AE645" t="s">
        <v>74</v>
      </c>
      <c r="AF645" t="s">
        <v>74</v>
      </c>
      <c r="AG645">
        <v>35</v>
      </c>
      <c r="AH645">
        <v>1</v>
      </c>
      <c r="AI645">
        <v>1</v>
      </c>
      <c r="AJ645">
        <v>0</v>
      </c>
      <c r="AK645">
        <v>1</v>
      </c>
      <c r="AL645" t="s">
        <v>74</v>
      </c>
      <c r="AM645" t="s">
        <v>74</v>
      </c>
      <c r="AN645" t="s">
        <v>74</v>
      </c>
      <c r="AO645" t="s">
        <v>74</v>
      </c>
      <c r="AP645" t="s">
        <v>677</v>
      </c>
      <c r="AQ645" t="s">
        <v>74</v>
      </c>
      <c r="AR645" t="s">
        <v>74</v>
      </c>
      <c r="AS645" t="s">
        <v>74</v>
      </c>
      <c r="AT645" t="s">
        <v>659</v>
      </c>
      <c r="AU645">
        <v>2021</v>
      </c>
      <c r="AV645">
        <v>22</v>
      </c>
      <c r="AW645">
        <v>18</v>
      </c>
      <c r="AX645" t="s">
        <v>74</v>
      </c>
      <c r="AY645" t="s">
        <v>74</v>
      </c>
      <c r="AZ645" t="s">
        <v>74</v>
      </c>
      <c r="BA645" t="s">
        <v>74</v>
      </c>
      <c r="BB645" t="s">
        <v>74</v>
      </c>
      <c r="BC645" t="s">
        <v>74</v>
      </c>
      <c r="BD645">
        <v>9809</v>
      </c>
      <c r="BE645" t="s">
        <v>5892</v>
      </c>
      <c r="BF645" t="str">
        <f>HYPERLINK("http://dx.doi.org/10.3390/ijms22189809","http://dx.doi.org/10.3390/ijms22189809")</f>
        <v>http://dx.doi.org/10.3390/ijms22189809</v>
      </c>
      <c r="BG645" t="s">
        <v>74</v>
      </c>
      <c r="BH645" t="s">
        <v>74</v>
      </c>
      <c r="BI645" t="s">
        <v>74</v>
      </c>
      <c r="BJ645" t="s">
        <v>680</v>
      </c>
      <c r="BK645" t="s">
        <v>112</v>
      </c>
      <c r="BL645" t="s">
        <v>681</v>
      </c>
      <c r="BM645" t="s">
        <v>74</v>
      </c>
      <c r="BN645">
        <v>34575975</v>
      </c>
      <c r="BO645" t="s">
        <v>74</v>
      </c>
      <c r="BP645" t="s">
        <v>74</v>
      </c>
      <c r="BQ645" t="s">
        <v>74</v>
      </c>
      <c r="BR645" t="s">
        <v>93</v>
      </c>
      <c r="BS645" t="s">
        <v>5893</v>
      </c>
      <c r="BT645" t="str">
        <f>HYPERLINK("https%3A%2F%2Fwww.webofscience.com%2Fwos%2Fwoscc%2Ffull-record%2FWOS:000699823900001","View Full Record in Web of Science")</f>
        <v>View Full Record in Web of Science</v>
      </c>
    </row>
    <row r="646" spans="1:72" x14ac:dyDescent="0.15">
      <c r="A646" t="s">
        <v>72</v>
      </c>
      <c r="B646" t="s">
        <v>6036</v>
      </c>
      <c r="C646" t="s">
        <v>74</v>
      </c>
      <c r="D646" t="s">
        <v>74</v>
      </c>
      <c r="E646" t="s">
        <v>74</v>
      </c>
      <c r="F646" t="s">
        <v>6037</v>
      </c>
      <c r="G646" t="s">
        <v>74</v>
      </c>
      <c r="H646" t="s">
        <v>74</v>
      </c>
      <c r="I646" t="s">
        <v>6038</v>
      </c>
      <c r="J646" t="s">
        <v>3571</v>
      </c>
      <c r="K646" t="s">
        <v>74</v>
      </c>
      <c r="L646" t="s">
        <v>74</v>
      </c>
      <c r="M646" t="s">
        <v>74</v>
      </c>
      <c r="N646" t="s">
        <v>78</v>
      </c>
      <c r="O646" t="s">
        <v>74</v>
      </c>
      <c r="P646" t="s">
        <v>74</v>
      </c>
      <c r="Q646" t="s">
        <v>74</v>
      </c>
      <c r="R646" t="s">
        <v>74</v>
      </c>
      <c r="S646" t="s">
        <v>74</v>
      </c>
      <c r="T646" t="s">
        <v>6039</v>
      </c>
      <c r="U646" t="s">
        <v>74</v>
      </c>
      <c r="V646" t="s">
        <v>6040</v>
      </c>
      <c r="W646" t="s">
        <v>6041</v>
      </c>
      <c r="X646" t="s">
        <v>2133</v>
      </c>
      <c r="Y646" t="s">
        <v>6042</v>
      </c>
      <c r="Z646" t="s">
        <v>3884</v>
      </c>
      <c r="AA646" t="s">
        <v>74</v>
      </c>
      <c r="AB646" t="s">
        <v>74</v>
      </c>
      <c r="AC646" t="s">
        <v>74</v>
      </c>
      <c r="AD646" t="s">
        <v>74</v>
      </c>
      <c r="AE646" t="s">
        <v>74</v>
      </c>
      <c r="AF646" t="s">
        <v>74</v>
      </c>
      <c r="AG646">
        <v>37</v>
      </c>
      <c r="AH646">
        <v>1</v>
      </c>
      <c r="AI646">
        <v>1</v>
      </c>
      <c r="AJ646">
        <v>42</v>
      </c>
      <c r="AK646">
        <v>42</v>
      </c>
      <c r="AL646" t="s">
        <v>74</v>
      </c>
      <c r="AM646" t="s">
        <v>74</v>
      </c>
      <c r="AN646" t="s">
        <v>74</v>
      </c>
      <c r="AO646" t="s">
        <v>74</v>
      </c>
      <c r="AP646" t="s">
        <v>3579</v>
      </c>
      <c r="AQ646" t="s">
        <v>74</v>
      </c>
      <c r="AR646" t="s">
        <v>74</v>
      </c>
      <c r="AS646" t="s">
        <v>74</v>
      </c>
      <c r="AT646" t="s">
        <v>1130</v>
      </c>
      <c r="AU646">
        <v>2022</v>
      </c>
      <c r="AV646">
        <v>355</v>
      </c>
      <c r="AW646" t="s">
        <v>74</v>
      </c>
      <c r="AX646" t="s">
        <v>74</v>
      </c>
      <c r="AY646" t="s">
        <v>74</v>
      </c>
      <c r="AZ646" t="s">
        <v>74</v>
      </c>
      <c r="BA646" t="s">
        <v>74</v>
      </c>
      <c r="BB646" t="s">
        <v>74</v>
      </c>
      <c r="BC646" t="s">
        <v>74</v>
      </c>
      <c r="BD646">
        <v>131315</v>
      </c>
      <c r="BE646" t="s">
        <v>6043</v>
      </c>
      <c r="BF646" t="str">
        <f>HYPERLINK("http://dx.doi.org/10.1016/j.snb.2021.131315","http://dx.doi.org/10.1016/j.snb.2021.131315")</f>
        <v>http://dx.doi.org/10.1016/j.snb.2021.131315</v>
      </c>
      <c r="BG646" t="s">
        <v>74</v>
      </c>
      <c r="BH646" t="s">
        <v>74</v>
      </c>
      <c r="BI646" t="s">
        <v>74</v>
      </c>
      <c r="BJ646" t="s">
        <v>3582</v>
      </c>
      <c r="BK646" t="s">
        <v>112</v>
      </c>
      <c r="BL646" t="s">
        <v>3583</v>
      </c>
      <c r="BM646" t="s">
        <v>74</v>
      </c>
      <c r="BN646" t="s">
        <v>74</v>
      </c>
      <c r="BO646" t="s">
        <v>74</v>
      </c>
      <c r="BP646" t="s">
        <v>74</v>
      </c>
      <c r="BQ646" t="s">
        <v>74</v>
      </c>
      <c r="BR646" t="s">
        <v>93</v>
      </c>
      <c r="BS646" t="s">
        <v>6044</v>
      </c>
      <c r="BT646" t="str">
        <f>HYPERLINK("https%3A%2F%2Fwww.webofscience.com%2Fwos%2Fwoscc%2Ffull-record%2FWOS:000752497500007","View Full Record in Web of Science")</f>
        <v>View Full Record in Web of Science</v>
      </c>
    </row>
    <row r="647" spans="1:72" x14ac:dyDescent="0.15">
      <c r="A647" t="s">
        <v>72</v>
      </c>
      <c r="B647" t="s">
        <v>6045</v>
      </c>
      <c r="C647" t="s">
        <v>74</v>
      </c>
      <c r="D647" t="s">
        <v>74</v>
      </c>
      <c r="E647" t="s">
        <v>74</v>
      </c>
      <c r="F647" t="s">
        <v>6046</v>
      </c>
      <c r="G647" t="s">
        <v>74</v>
      </c>
      <c r="H647" t="s">
        <v>74</v>
      </c>
      <c r="I647" t="s">
        <v>6047</v>
      </c>
      <c r="J647" t="s">
        <v>6048</v>
      </c>
      <c r="K647" t="s">
        <v>74</v>
      </c>
      <c r="L647" t="s">
        <v>74</v>
      </c>
      <c r="M647" t="s">
        <v>74</v>
      </c>
      <c r="N647" t="s">
        <v>78</v>
      </c>
      <c r="O647" t="s">
        <v>74</v>
      </c>
      <c r="P647" t="s">
        <v>74</v>
      </c>
      <c r="Q647" t="s">
        <v>74</v>
      </c>
      <c r="R647" t="s">
        <v>74</v>
      </c>
      <c r="S647" t="s">
        <v>74</v>
      </c>
      <c r="T647" t="s">
        <v>6049</v>
      </c>
      <c r="U647" t="s">
        <v>6050</v>
      </c>
      <c r="V647" t="s">
        <v>6051</v>
      </c>
      <c r="W647" t="s">
        <v>6052</v>
      </c>
      <c r="X647" t="s">
        <v>6053</v>
      </c>
      <c r="Y647" t="s">
        <v>6054</v>
      </c>
      <c r="Z647" t="s">
        <v>6055</v>
      </c>
      <c r="AA647" t="s">
        <v>6056</v>
      </c>
      <c r="AB647" t="s">
        <v>6057</v>
      </c>
      <c r="AC647" t="s">
        <v>74</v>
      </c>
      <c r="AD647" t="s">
        <v>74</v>
      </c>
      <c r="AE647" t="s">
        <v>74</v>
      </c>
      <c r="AF647" t="s">
        <v>74</v>
      </c>
      <c r="AG647">
        <v>37</v>
      </c>
      <c r="AH647">
        <v>1</v>
      </c>
      <c r="AI647">
        <v>1</v>
      </c>
      <c r="AJ647">
        <v>4</v>
      </c>
      <c r="AK647">
        <v>4</v>
      </c>
      <c r="AL647" t="s">
        <v>74</v>
      </c>
      <c r="AM647" t="s">
        <v>74</v>
      </c>
      <c r="AN647" t="s">
        <v>74</v>
      </c>
      <c r="AO647" t="s">
        <v>74</v>
      </c>
      <c r="AP647" t="s">
        <v>6058</v>
      </c>
      <c r="AQ647" t="s">
        <v>74</v>
      </c>
      <c r="AR647" t="s">
        <v>74</v>
      </c>
      <c r="AS647" t="s">
        <v>74</v>
      </c>
      <c r="AT647" t="s">
        <v>236</v>
      </c>
      <c r="AU647">
        <v>2020</v>
      </c>
      <c r="AV647">
        <v>10</v>
      </c>
      <c r="AW647">
        <v>21</v>
      </c>
      <c r="AX647" t="s">
        <v>74</v>
      </c>
      <c r="AY647" t="s">
        <v>74</v>
      </c>
      <c r="AZ647" t="s">
        <v>74</v>
      </c>
      <c r="BA647" t="s">
        <v>74</v>
      </c>
      <c r="BB647" t="s">
        <v>74</v>
      </c>
      <c r="BC647" t="s">
        <v>74</v>
      </c>
      <c r="BD647">
        <v>7490</v>
      </c>
      <c r="BE647" t="s">
        <v>6059</v>
      </c>
      <c r="BF647" t="str">
        <f>HYPERLINK("http://dx.doi.org/10.3390/app10217490","http://dx.doi.org/10.3390/app10217490")</f>
        <v>http://dx.doi.org/10.3390/app10217490</v>
      </c>
      <c r="BG647" t="s">
        <v>74</v>
      </c>
      <c r="BH647" t="s">
        <v>74</v>
      </c>
      <c r="BI647" t="s">
        <v>74</v>
      </c>
      <c r="BJ647" t="s">
        <v>6060</v>
      </c>
      <c r="BK647" t="s">
        <v>112</v>
      </c>
      <c r="BL647" t="s">
        <v>6061</v>
      </c>
      <c r="BM647" t="s">
        <v>74</v>
      </c>
      <c r="BN647" t="s">
        <v>74</v>
      </c>
      <c r="BO647" t="s">
        <v>74</v>
      </c>
      <c r="BP647" t="s">
        <v>74</v>
      </c>
      <c r="BQ647" t="s">
        <v>74</v>
      </c>
      <c r="BR647" t="s">
        <v>93</v>
      </c>
      <c r="BS647" t="s">
        <v>6062</v>
      </c>
      <c r="BT647" t="str">
        <f>HYPERLINK("https%3A%2F%2Fwww.webofscience.com%2Fwos%2Fwoscc%2Ffull-record%2FWOS:000589008800001","View Full Record in Web of Science")</f>
        <v>View Full Record in Web of Science</v>
      </c>
    </row>
    <row r="648" spans="1:72" x14ac:dyDescent="0.15">
      <c r="A648" t="s">
        <v>72</v>
      </c>
      <c r="B648" t="s">
        <v>6214</v>
      </c>
      <c r="C648" t="s">
        <v>74</v>
      </c>
      <c r="D648" t="s">
        <v>74</v>
      </c>
      <c r="E648" t="s">
        <v>74</v>
      </c>
      <c r="F648" t="s">
        <v>6215</v>
      </c>
      <c r="G648" t="s">
        <v>74</v>
      </c>
      <c r="H648" t="s">
        <v>74</v>
      </c>
      <c r="I648" t="s">
        <v>6216</v>
      </c>
      <c r="J648" t="s">
        <v>1828</v>
      </c>
      <c r="K648" t="s">
        <v>74</v>
      </c>
      <c r="L648" t="s">
        <v>74</v>
      </c>
      <c r="M648" t="s">
        <v>74</v>
      </c>
      <c r="N648" t="s">
        <v>78</v>
      </c>
      <c r="O648" t="s">
        <v>74</v>
      </c>
      <c r="P648" t="s">
        <v>74</v>
      </c>
      <c r="Q648" t="s">
        <v>74</v>
      </c>
      <c r="R648" t="s">
        <v>74</v>
      </c>
      <c r="S648" t="s">
        <v>74</v>
      </c>
      <c r="T648" t="s">
        <v>74</v>
      </c>
      <c r="U648" t="s">
        <v>6217</v>
      </c>
      <c r="V648" t="s">
        <v>6218</v>
      </c>
      <c r="W648" t="s">
        <v>6219</v>
      </c>
      <c r="X648" t="s">
        <v>6220</v>
      </c>
      <c r="Y648" t="s">
        <v>6221</v>
      </c>
      <c r="Z648" t="s">
        <v>6222</v>
      </c>
      <c r="AA648" t="s">
        <v>6223</v>
      </c>
      <c r="AB648" t="s">
        <v>6224</v>
      </c>
      <c r="AC648" t="s">
        <v>74</v>
      </c>
      <c r="AD648" t="s">
        <v>74</v>
      </c>
      <c r="AE648" t="s">
        <v>74</v>
      </c>
      <c r="AF648" t="s">
        <v>74</v>
      </c>
      <c r="AG648">
        <v>62</v>
      </c>
      <c r="AH648">
        <v>1</v>
      </c>
      <c r="AI648">
        <v>1</v>
      </c>
      <c r="AJ648">
        <v>1</v>
      </c>
      <c r="AK648">
        <v>5</v>
      </c>
      <c r="AL648" t="s">
        <v>74</v>
      </c>
      <c r="AM648" t="s">
        <v>74</v>
      </c>
      <c r="AN648" t="s">
        <v>74</v>
      </c>
      <c r="AO648" t="s">
        <v>1837</v>
      </c>
      <c r="AP648" t="s">
        <v>74</v>
      </c>
      <c r="AQ648" t="s">
        <v>74</v>
      </c>
      <c r="AR648" t="s">
        <v>74</v>
      </c>
      <c r="AS648" t="s">
        <v>74</v>
      </c>
      <c r="AT648" t="s">
        <v>6225</v>
      </c>
      <c r="AU648">
        <v>2021</v>
      </c>
      <c r="AV648">
        <v>11</v>
      </c>
      <c r="AW648">
        <v>1</v>
      </c>
      <c r="AX648" t="s">
        <v>74</v>
      </c>
      <c r="AY648" t="s">
        <v>74</v>
      </c>
      <c r="AZ648" t="s">
        <v>74</v>
      </c>
      <c r="BA648" t="s">
        <v>74</v>
      </c>
      <c r="BB648" t="s">
        <v>74</v>
      </c>
      <c r="BC648" t="s">
        <v>74</v>
      </c>
      <c r="BD648">
        <v>13987</v>
      </c>
      <c r="BE648" t="s">
        <v>6226</v>
      </c>
      <c r="BF648" t="str">
        <f>HYPERLINK("http://dx.doi.org/10.1038/s41598-021-93112-z","http://dx.doi.org/10.1038/s41598-021-93112-z")</f>
        <v>http://dx.doi.org/10.1038/s41598-021-93112-z</v>
      </c>
      <c r="BG648" t="s">
        <v>74</v>
      </c>
      <c r="BH648" t="s">
        <v>74</v>
      </c>
      <c r="BI648" t="s">
        <v>74</v>
      </c>
      <c r="BJ648" t="s">
        <v>545</v>
      </c>
      <c r="BK648" t="s">
        <v>1460</v>
      </c>
      <c r="BL648" t="s">
        <v>546</v>
      </c>
      <c r="BM648" t="s">
        <v>74</v>
      </c>
      <c r="BN648">
        <v>34234173</v>
      </c>
      <c r="BO648" t="s">
        <v>74</v>
      </c>
      <c r="BP648" t="s">
        <v>74</v>
      </c>
      <c r="BQ648" t="s">
        <v>74</v>
      </c>
      <c r="BR648" t="s">
        <v>93</v>
      </c>
      <c r="BS648" t="s">
        <v>6227</v>
      </c>
      <c r="BT648" t="str">
        <f>HYPERLINK("https%3A%2F%2Fwww.webofscience.com%2Fwos%2Fwoscc%2Ffull-record%2FWOS:000674543000002","View Full Record in Web of Science")</f>
        <v>View Full Record in Web of Science</v>
      </c>
    </row>
    <row r="649" spans="1:72" x14ac:dyDescent="0.15">
      <c r="A649" t="s">
        <v>72</v>
      </c>
      <c r="B649" t="s">
        <v>6402</v>
      </c>
      <c r="C649" t="s">
        <v>74</v>
      </c>
      <c r="D649" t="s">
        <v>74</v>
      </c>
      <c r="E649" t="s">
        <v>74</v>
      </c>
      <c r="F649" t="s">
        <v>6403</v>
      </c>
      <c r="G649" t="s">
        <v>74</v>
      </c>
      <c r="H649" t="s">
        <v>74</v>
      </c>
      <c r="I649" t="s">
        <v>6404</v>
      </c>
      <c r="J649" t="s">
        <v>3571</v>
      </c>
      <c r="K649" t="s">
        <v>74</v>
      </c>
      <c r="L649" t="s">
        <v>74</v>
      </c>
      <c r="M649" t="s">
        <v>74</v>
      </c>
      <c r="N649" t="s">
        <v>78</v>
      </c>
      <c r="O649" t="s">
        <v>74</v>
      </c>
      <c r="P649" t="s">
        <v>74</v>
      </c>
      <c r="Q649" t="s">
        <v>74</v>
      </c>
      <c r="R649" t="s">
        <v>74</v>
      </c>
      <c r="S649" t="s">
        <v>74</v>
      </c>
      <c r="T649" t="s">
        <v>6405</v>
      </c>
      <c r="U649" t="s">
        <v>6406</v>
      </c>
      <c r="V649" t="s">
        <v>6407</v>
      </c>
      <c r="W649" t="s">
        <v>6408</v>
      </c>
      <c r="X649" t="s">
        <v>6409</v>
      </c>
      <c r="Y649" t="s">
        <v>6410</v>
      </c>
      <c r="Z649" t="s">
        <v>6411</v>
      </c>
      <c r="AA649" t="s">
        <v>74</v>
      </c>
      <c r="AB649" t="s">
        <v>74</v>
      </c>
      <c r="AC649" t="s">
        <v>74</v>
      </c>
      <c r="AD649" t="s">
        <v>74</v>
      </c>
      <c r="AE649" t="s">
        <v>74</v>
      </c>
      <c r="AF649" t="s">
        <v>74</v>
      </c>
      <c r="AG649">
        <v>44</v>
      </c>
      <c r="AH649">
        <v>1</v>
      </c>
      <c r="AI649">
        <v>1</v>
      </c>
      <c r="AJ649">
        <v>37</v>
      </c>
      <c r="AK649">
        <v>117</v>
      </c>
      <c r="AL649" t="s">
        <v>74</v>
      </c>
      <c r="AM649" t="s">
        <v>74</v>
      </c>
      <c r="AN649" t="s">
        <v>74</v>
      </c>
      <c r="AO649" t="s">
        <v>74</v>
      </c>
      <c r="AP649" t="s">
        <v>3579</v>
      </c>
      <c r="AQ649" t="s">
        <v>74</v>
      </c>
      <c r="AR649" t="s">
        <v>74</v>
      </c>
      <c r="AS649" t="s">
        <v>74</v>
      </c>
      <c r="AT649" t="s">
        <v>3441</v>
      </c>
      <c r="AU649">
        <v>2021</v>
      </c>
      <c r="AV649">
        <v>341</v>
      </c>
      <c r="AW649" t="s">
        <v>74</v>
      </c>
      <c r="AX649" t="s">
        <v>74</v>
      </c>
      <c r="AY649" t="s">
        <v>74</v>
      </c>
      <c r="AZ649" t="s">
        <v>74</v>
      </c>
      <c r="BA649" t="s">
        <v>74</v>
      </c>
      <c r="BB649" t="s">
        <v>74</v>
      </c>
      <c r="BC649" t="s">
        <v>74</v>
      </c>
      <c r="BD649">
        <v>130034</v>
      </c>
      <c r="BE649" t="s">
        <v>6412</v>
      </c>
      <c r="BF649" t="str">
        <f>HYPERLINK("http://dx.doi.org/10.1016/j.snb.2021.130034","http://dx.doi.org/10.1016/j.snb.2021.130034")</f>
        <v>http://dx.doi.org/10.1016/j.snb.2021.130034</v>
      </c>
      <c r="BG649" t="s">
        <v>74</v>
      </c>
      <c r="BH649" t="s">
        <v>6413</v>
      </c>
      <c r="BI649" t="s">
        <v>74</v>
      </c>
      <c r="BJ649" t="s">
        <v>3582</v>
      </c>
      <c r="BK649" t="s">
        <v>112</v>
      </c>
      <c r="BL649" t="s">
        <v>3583</v>
      </c>
      <c r="BM649" t="s">
        <v>74</v>
      </c>
      <c r="BN649" t="s">
        <v>74</v>
      </c>
      <c r="BO649" t="s">
        <v>74</v>
      </c>
      <c r="BP649" t="s">
        <v>74</v>
      </c>
      <c r="BQ649" t="s">
        <v>74</v>
      </c>
      <c r="BR649" t="s">
        <v>93</v>
      </c>
      <c r="BS649" t="s">
        <v>6414</v>
      </c>
      <c r="BT649" t="str">
        <f>HYPERLINK("https%3A%2F%2Fwww.webofscience.com%2Fwos%2Fwoscc%2Ffull-record%2FWOS:000652633000004","View Full Record in Web of Science")</f>
        <v>View Full Record in Web of Science</v>
      </c>
    </row>
    <row r="650" spans="1:72" x14ac:dyDescent="0.15">
      <c r="A650" t="s">
        <v>72</v>
      </c>
      <c r="B650" t="s">
        <v>6779</v>
      </c>
      <c r="C650" t="s">
        <v>74</v>
      </c>
      <c r="D650" t="s">
        <v>74</v>
      </c>
      <c r="E650" t="s">
        <v>74</v>
      </c>
      <c r="F650" t="s">
        <v>6780</v>
      </c>
      <c r="G650" t="s">
        <v>74</v>
      </c>
      <c r="H650" t="s">
        <v>74</v>
      </c>
      <c r="I650" t="s">
        <v>6781</v>
      </c>
      <c r="J650" t="s">
        <v>6782</v>
      </c>
      <c r="K650" t="s">
        <v>74</v>
      </c>
      <c r="L650" t="s">
        <v>74</v>
      </c>
      <c r="M650" t="s">
        <v>74</v>
      </c>
      <c r="N650" t="s">
        <v>78</v>
      </c>
      <c r="O650" t="s">
        <v>74</v>
      </c>
      <c r="P650" t="s">
        <v>74</v>
      </c>
      <c r="Q650" t="s">
        <v>74</v>
      </c>
      <c r="R650" t="s">
        <v>74</v>
      </c>
      <c r="S650" t="s">
        <v>74</v>
      </c>
      <c r="T650" t="s">
        <v>6783</v>
      </c>
      <c r="U650" t="s">
        <v>6784</v>
      </c>
      <c r="V650" t="s">
        <v>6785</v>
      </c>
      <c r="W650" t="s">
        <v>6786</v>
      </c>
      <c r="X650" t="s">
        <v>74</v>
      </c>
      <c r="Y650" t="s">
        <v>6787</v>
      </c>
      <c r="Z650" t="s">
        <v>6788</v>
      </c>
      <c r="AA650" t="s">
        <v>6789</v>
      </c>
      <c r="AB650" t="s">
        <v>6790</v>
      </c>
      <c r="AC650" t="s">
        <v>74</v>
      </c>
      <c r="AD650" t="s">
        <v>74</v>
      </c>
      <c r="AE650" t="s">
        <v>74</v>
      </c>
      <c r="AF650" t="s">
        <v>74</v>
      </c>
      <c r="AG650">
        <v>62</v>
      </c>
      <c r="AH650">
        <v>1</v>
      </c>
      <c r="AI650">
        <v>1</v>
      </c>
      <c r="AJ650">
        <v>1</v>
      </c>
      <c r="AK650">
        <v>2</v>
      </c>
      <c r="AL650" t="s">
        <v>74</v>
      </c>
      <c r="AM650" t="s">
        <v>74</v>
      </c>
      <c r="AN650" t="s">
        <v>74</v>
      </c>
      <c r="AO650" t="s">
        <v>6791</v>
      </c>
      <c r="AP650" t="s">
        <v>6792</v>
      </c>
      <c r="AQ650" t="s">
        <v>74</v>
      </c>
      <c r="AR650" t="s">
        <v>74</v>
      </c>
      <c r="AS650" t="s">
        <v>74</v>
      </c>
      <c r="AT650" t="s">
        <v>6793</v>
      </c>
      <c r="AU650">
        <v>2020</v>
      </c>
      <c r="AV650" t="s">
        <v>74</v>
      </c>
      <c r="AW650">
        <v>3</v>
      </c>
      <c r="AX650" t="s">
        <v>74</v>
      </c>
      <c r="AY650" t="s">
        <v>74</v>
      </c>
      <c r="AZ650" t="s">
        <v>74</v>
      </c>
      <c r="BA650" t="s">
        <v>74</v>
      </c>
      <c r="BB650">
        <v>5</v>
      </c>
      <c r="BC650">
        <v>10</v>
      </c>
      <c r="BD650" t="s">
        <v>74</v>
      </c>
      <c r="BE650" t="s">
        <v>6794</v>
      </c>
      <c r="BF650" t="str">
        <f>HYPERLINK("http://dx.doi.org/10.24075/brsmu.2020.040","http://dx.doi.org/10.24075/brsmu.2020.040")</f>
        <v>http://dx.doi.org/10.24075/brsmu.2020.040</v>
      </c>
      <c r="BG650" t="s">
        <v>74</v>
      </c>
      <c r="BH650" t="s">
        <v>74</v>
      </c>
      <c r="BI650" t="s">
        <v>74</v>
      </c>
      <c r="BJ650" t="s">
        <v>802</v>
      </c>
      <c r="BK650" t="s">
        <v>91</v>
      </c>
      <c r="BL650" t="s">
        <v>803</v>
      </c>
      <c r="BM650" t="s">
        <v>74</v>
      </c>
      <c r="BN650" t="s">
        <v>74</v>
      </c>
      <c r="BO650" t="s">
        <v>74</v>
      </c>
      <c r="BP650" t="s">
        <v>74</v>
      </c>
      <c r="BQ650" t="s">
        <v>74</v>
      </c>
      <c r="BR650" t="s">
        <v>93</v>
      </c>
      <c r="BS650" t="s">
        <v>6795</v>
      </c>
      <c r="BT650" t="str">
        <f>HYPERLINK("https%3A%2F%2Fwww.webofscience.com%2Fwos%2Fwoscc%2Ffull-record%2FWOS:000549104300001","View Full Record in Web of Science")</f>
        <v>View Full Record in Web of Science</v>
      </c>
    </row>
    <row r="651" spans="1:72" x14ac:dyDescent="0.15">
      <c r="A651" t="s">
        <v>72</v>
      </c>
      <c r="B651" t="s">
        <v>6877</v>
      </c>
      <c r="C651" t="s">
        <v>74</v>
      </c>
      <c r="D651" t="s">
        <v>74</v>
      </c>
      <c r="E651" t="s">
        <v>74</v>
      </c>
      <c r="F651" t="s">
        <v>6878</v>
      </c>
      <c r="G651" t="s">
        <v>74</v>
      </c>
      <c r="H651" t="s">
        <v>74</v>
      </c>
      <c r="I651" t="s">
        <v>6879</v>
      </c>
      <c r="J651" t="s">
        <v>135</v>
      </c>
      <c r="K651" t="s">
        <v>74</v>
      </c>
      <c r="L651" t="s">
        <v>74</v>
      </c>
      <c r="M651" t="s">
        <v>74</v>
      </c>
      <c r="N651" t="s">
        <v>78</v>
      </c>
      <c r="O651" t="s">
        <v>74</v>
      </c>
      <c r="P651" t="s">
        <v>74</v>
      </c>
      <c r="Q651" t="s">
        <v>74</v>
      </c>
      <c r="R651" t="s">
        <v>74</v>
      </c>
      <c r="S651" t="s">
        <v>74</v>
      </c>
      <c r="T651" t="s">
        <v>6880</v>
      </c>
      <c r="U651" t="s">
        <v>6881</v>
      </c>
      <c r="V651" t="s">
        <v>6882</v>
      </c>
      <c r="W651" t="s">
        <v>6883</v>
      </c>
      <c r="X651" t="s">
        <v>4653</v>
      </c>
      <c r="Y651" t="s">
        <v>6884</v>
      </c>
      <c r="Z651" t="s">
        <v>6885</v>
      </c>
      <c r="AA651" t="s">
        <v>74</v>
      </c>
      <c r="AB651" t="s">
        <v>6886</v>
      </c>
      <c r="AC651" t="s">
        <v>74</v>
      </c>
      <c r="AD651" t="s">
        <v>74</v>
      </c>
      <c r="AE651" t="s">
        <v>74</v>
      </c>
      <c r="AF651" t="s">
        <v>74</v>
      </c>
      <c r="AG651">
        <v>31</v>
      </c>
      <c r="AH651">
        <v>1</v>
      </c>
      <c r="AI651">
        <v>1</v>
      </c>
      <c r="AJ651">
        <v>0</v>
      </c>
      <c r="AK651">
        <v>2</v>
      </c>
      <c r="AL651" t="s">
        <v>74</v>
      </c>
      <c r="AM651" t="s">
        <v>74</v>
      </c>
      <c r="AN651" t="s">
        <v>74</v>
      </c>
      <c r="AO651" t="s">
        <v>74</v>
      </c>
      <c r="AP651" t="s">
        <v>143</v>
      </c>
      <c r="AQ651" t="s">
        <v>74</v>
      </c>
      <c r="AR651" t="s">
        <v>74</v>
      </c>
      <c r="AS651" t="s">
        <v>74</v>
      </c>
      <c r="AT651" t="s">
        <v>6887</v>
      </c>
      <c r="AU651">
        <v>2021</v>
      </c>
      <c r="AV651">
        <v>21</v>
      </c>
      <c r="AW651">
        <v>1</v>
      </c>
      <c r="AX651" t="s">
        <v>74</v>
      </c>
      <c r="AY651" t="s">
        <v>74</v>
      </c>
      <c r="AZ651" t="s">
        <v>74</v>
      </c>
      <c r="BA651" t="s">
        <v>74</v>
      </c>
      <c r="BB651" t="s">
        <v>74</v>
      </c>
      <c r="BC651" t="s">
        <v>74</v>
      </c>
      <c r="BD651">
        <v>1062</v>
      </c>
      <c r="BE651" t="s">
        <v>6888</v>
      </c>
      <c r="BF651" t="str">
        <f>HYPERLINK("http://dx.doi.org/10.1186/s12885-021-08785-6","http://dx.doi.org/10.1186/s12885-021-08785-6")</f>
        <v>http://dx.doi.org/10.1186/s12885-021-08785-6</v>
      </c>
      <c r="BG651" t="s">
        <v>74</v>
      </c>
      <c r="BH651" t="s">
        <v>74</v>
      </c>
      <c r="BI651" t="s">
        <v>74</v>
      </c>
      <c r="BJ651" t="s">
        <v>146</v>
      </c>
      <c r="BK651" t="s">
        <v>112</v>
      </c>
      <c r="BL651" t="s">
        <v>146</v>
      </c>
      <c r="BM651" t="s">
        <v>74</v>
      </c>
      <c r="BN651">
        <v>34565331</v>
      </c>
      <c r="BO651" t="s">
        <v>74</v>
      </c>
      <c r="BP651" t="s">
        <v>74</v>
      </c>
      <c r="BQ651" t="s">
        <v>74</v>
      </c>
      <c r="BR651" t="s">
        <v>93</v>
      </c>
      <c r="BS651" t="s">
        <v>6889</v>
      </c>
      <c r="BT651" t="str">
        <f>HYPERLINK("https%3A%2F%2Fwww.webofscience.com%2Fwos%2Fwoscc%2Ffull-record%2FWOS:000701269500002","View Full Record in Web of Science")</f>
        <v>View Full Record in Web of Science</v>
      </c>
    </row>
    <row r="652" spans="1:72" x14ac:dyDescent="0.15">
      <c r="A652" t="s">
        <v>72</v>
      </c>
      <c r="B652" t="s">
        <v>7023</v>
      </c>
      <c r="C652" t="s">
        <v>74</v>
      </c>
      <c r="D652" t="s">
        <v>74</v>
      </c>
      <c r="E652" t="s">
        <v>74</v>
      </c>
      <c r="F652" t="s">
        <v>7024</v>
      </c>
      <c r="G652" t="s">
        <v>74</v>
      </c>
      <c r="H652" t="s">
        <v>74</v>
      </c>
      <c r="I652" t="s">
        <v>7025</v>
      </c>
      <c r="J652" t="s">
        <v>7026</v>
      </c>
      <c r="K652" t="s">
        <v>74</v>
      </c>
      <c r="L652" t="s">
        <v>74</v>
      </c>
      <c r="M652" t="s">
        <v>74</v>
      </c>
      <c r="N652" t="s">
        <v>78</v>
      </c>
      <c r="O652" t="s">
        <v>74</v>
      </c>
      <c r="P652" t="s">
        <v>74</v>
      </c>
      <c r="Q652" t="s">
        <v>74</v>
      </c>
      <c r="R652" t="s">
        <v>74</v>
      </c>
      <c r="S652" t="s">
        <v>74</v>
      </c>
      <c r="T652" t="s">
        <v>7027</v>
      </c>
      <c r="U652" t="s">
        <v>7028</v>
      </c>
      <c r="V652" t="s">
        <v>7029</v>
      </c>
      <c r="W652" t="s">
        <v>7030</v>
      </c>
      <c r="X652" t="s">
        <v>7031</v>
      </c>
      <c r="Y652" t="s">
        <v>7032</v>
      </c>
      <c r="Z652" t="s">
        <v>7033</v>
      </c>
      <c r="AA652" t="s">
        <v>7034</v>
      </c>
      <c r="AB652" t="s">
        <v>7035</v>
      </c>
      <c r="AC652" t="s">
        <v>74</v>
      </c>
      <c r="AD652" t="s">
        <v>74</v>
      </c>
      <c r="AE652" t="s">
        <v>74</v>
      </c>
      <c r="AF652" t="s">
        <v>74</v>
      </c>
      <c r="AG652">
        <v>37</v>
      </c>
      <c r="AH652">
        <v>1</v>
      </c>
      <c r="AI652">
        <v>1</v>
      </c>
      <c r="AJ652">
        <v>6</v>
      </c>
      <c r="AK652">
        <v>7</v>
      </c>
      <c r="AL652" t="s">
        <v>74</v>
      </c>
      <c r="AM652" t="s">
        <v>74</v>
      </c>
      <c r="AN652" t="s">
        <v>74</v>
      </c>
      <c r="AO652" t="s">
        <v>74</v>
      </c>
      <c r="AP652" t="s">
        <v>7036</v>
      </c>
      <c r="AQ652" t="s">
        <v>74</v>
      </c>
      <c r="AR652" t="s">
        <v>74</v>
      </c>
      <c r="AS652" t="s">
        <v>74</v>
      </c>
      <c r="AT652" t="s">
        <v>108</v>
      </c>
      <c r="AU652">
        <v>2022</v>
      </c>
      <c r="AV652">
        <v>12</v>
      </c>
      <c r="AW652">
        <v>1</v>
      </c>
      <c r="AX652" t="s">
        <v>74</v>
      </c>
      <c r="AY652" t="s">
        <v>74</v>
      </c>
      <c r="AZ652" t="s">
        <v>74</v>
      </c>
      <c r="BA652" t="s">
        <v>74</v>
      </c>
      <c r="BB652" t="s">
        <v>74</v>
      </c>
      <c r="BC652" t="s">
        <v>74</v>
      </c>
      <c r="BD652">
        <v>23</v>
      </c>
      <c r="BE652" t="s">
        <v>7037</v>
      </c>
      <c r="BF652" t="str">
        <f>HYPERLINK("http://dx.doi.org/10.3390/bios12010023","http://dx.doi.org/10.3390/bios12010023")</f>
        <v>http://dx.doi.org/10.3390/bios12010023</v>
      </c>
      <c r="BG652" t="s">
        <v>74</v>
      </c>
      <c r="BH652" t="s">
        <v>74</v>
      </c>
      <c r="BI652" t="s">
        <v>74</v>
      </c>
      <c r="BJ652" t="s">
        <v>7038</v>
      </c>
      <c r="BK652" t="s">
        <v>112</v>
      </c>
      <c r="BL652" t="s">
        <v>7039</v>
      </c>
      <c r="BM652" t="s">
        <v>74</v>
      </c>
      <c r="BN652">
        <v>35049651</v>
      </c>
      <c r="BO652" t="s">
        <v>74</v>
      </c>
      <c r="BP652" t="s">
        <v>74</v>
      </c>
      <c r="BQ652" t="s">
        <v>74</v>
      </c>
      <c r="BR652" t="s">
        <v>93</v>
      </c>
      <c r="BS652" t="s">
        <v>7040</v>
      </c>
      <c r="BT652" t="str">
        <f>HYPERLINK("https%3A%2F%2Fwww.webofscience.com%2Fwos%2Fwoscc%2Ffull-record%2FWOS:000747127900001","View Full Record in Web of Science")</f>
        <v>View Full Record in Web of Science</v>
      </c>
    </row>
    <row r="653" spans="1:72" x14ac:dyDescent="0.15">
      <c r="A653" t="s">
        <v>72</v>
      </c>
      <c r="B653" t="s">
        <v>7174</v>
      </c>
      <c r="C653" t="s">
        <v>74</v>
      </c>
      <c r="D653" t="s">
        <v>74</v>
      </c>
      <c r="E653" t="s">
        <v>74</v>
      </c>
      <c r="F653" t="s">
        <v>7175</v>
      </c>
      <c r="G653" t="s">
        <v>74</v>
      </c>
      <c r="H653" t="s">
        <v>74</v>
      </c>
      <c r="I653" t="s">
        <v>7176</v>
      </c>
      <c r="J653" t="s">
        <v>7177</v>
      </c>
      <c r="K653" t="s">
        <v>74</v>
      </c>
      <c r="L653" t="s">
        <v>74</v>
      </c>
      <c r="M653" t="s">
        <v>74</v>
      </c>
      <c r="N653" t="s">
        <v>78</v>
      </c>
      <c r="O653" t="s">
        <v>74</v>
      </c>
      <c r="P653" t="s">
        <v>74</v>
      </c>
      <c r="Q653" t="s">
        <v>74</v>
      </c>
      <c r="R653" t="s">
        <v>74</v>
      </c>
      <c r="S653" t="s">
        <v>74</v>
      </c>
      <c r="T653" t="s">
        <v>7178</v>
      </c>
      <c r="U653" t="s">
        <v>74</v>
      </c>
      <c r="V653" t="s">
        <v>7179</v>
      </c>
      <c r="W653" t="s">
        <v>7180</v>
      </c>
      <c r="X653" t="s">
        <v>7181</v>
      </c>
      <c r="Y653" t="s">
        <v>7182</v>
      </c>
      <c r="Z653" t="s">
        <v>7183</v>
      </c>
      <c r="AA653" t="s">
        <v>7184</v>
      </c>
      <c r="AB653" t="s">
        <v>7185</v>
      </c>
      <c r="AC653" t="s">
        <v>74</v>
      </c>
      <c r="AD653" t="s">
        <v>74</v>
      </c>
      <c r="AE653" t="s">
        <v>74</v>
      </c>
      <c r="AF653" t="s">
        <v>74</v>
      </c>
      <c r="AG653">
        <v>47</v>
      </c>
      <c r="AH653">
        <v>1</v>
      </c>
      <c r="AI653">
        <v>1</v>
      </c>
      <c r="AJ653">
        <v>0</v>
      </c>
      <c r="AK653">
        <v>4</v>
      </c>
      <c r="AL653" t="s">
        <v>74</v>
      </c>
      <c r="AM653" t="s">
        <v>74</v>
      </c>
      <c r="AN653" t="s">
        <v>74</v>
      </c>
      <c r="AO653" t="s">
        <v>7186</v>
      </c>
      <c r="AP653" t="s">
        <v>7187</v>
      </c>
      <c r="AQ653" t="s">
        <v>74</v>
      </c>
      <c r="AR653" t="s">
        <v>74</v>
      </c>
      <c r="AS653" t="s">
        <v>74</v>
      </c>
      <c r="AT653" t="s">
        <v>743</v>
      </c>
      <c r="AU653">
        <v>2021</v>
      </c>
      <c r="AV653">
        <v>11</v>
      </c>
      <c r="AW653">
        <v>1</v>
      </c>
      <c r="AX653" t="s">
        <v>74</v>
      </c>
      <c r="AY653" t="s">
        <v>74</v>
      </c>
      <c r="AZ653" t="s">
        <v>74</v>
      </c>
      <c r="BA653" t="s">
        <v>74</v>
      </c>
      <c r="BB653">
        <v>32</v>
      </c>
      <c r="BC653">
        <v>38</v>
      </c>
      <c r="BD653" t="s">
        <v>74</v>
      </c>
      <c r="BE653" t="s">
        <v>7188</v>
      </c>
      <c r="BF653" t="str">
        <f>HYPERLINK("http://dx.doi.org/10.21103/Article11(1)_OA6","http://dx.doi.org/10.21103/Article11(1)_OA6")</f>
        <v>http://dx.doi.org/10.21103/Article11(1)_OA6</v>
      </c>
      <c r="BG653" t="s">
        <v>74</v>
      </c>
      <c r="BH653" t="s">
        <v>74</v>
      </c>
      <c r="BI653" t="s">
        <v>74</v>
      </c>
      <c r="BJ653" t="s">
        <v>506</v>
      </c>
      <c r="BK653" t="s">
        <v>91</v>
      </c>
      <c r="BL653" t="s">
        <v>507</v>
      </c>
      <c r="BM653" t="s">
        <v>74</v>
      </c>
      <c r="BN653" t="s">
        <v>74</v>
      </c>
      <c r="BO653" t="s">
        <v>74</v>
      </c>
      <c r="BP653" t="s">
        <v>74</v>
      </c>
      <c r="BQ653" t="s">
        <v>74</v>
      </c>
      <c r="BR653" t="s">
        <v>93</v>
      </c>
      <c r="BS653" t="s">
        <v>7189</v>
      </c>
      <c r="BT653" t="str">
        <f>HYPERLINK("https%3A%2F%2Fwww.webofscience.com%2Fwos%2Fwoscc%2Ffull-record%2FWOS:000634017700006","View Full Record in Web of Science")</f>
        <v>View Full Record in Web of Science</v>
      </c>
    </row>
    <row r="654" spans="1:72" x14ac:dyDescent="0.15">
      <c r="A654" t="s">
        <v>72</v>
      </c>
      <c r="B654" t="s">
        <v>7325</v>
      </c>
      <c r="C654" t="s">
        <v>74</v>
      </c>
      <c r="D654" t="s">
        <v>74</v>
      </c>
      <c r="E654" t="s">
        <v>74</v>
      </c>
      <c r="F654" t="s">
        <v>7326</v>
      </c>
      <c r="G654" t="s">
        <v>74</v>
      </c>
      <c r="H654" t="s">
        <v>74</v>
      </c>
      <c r="I654" t="s">
        <v>7327</v>
      </c>
      <c r="J654" t="s">
        <v>1184</v>
      </c>
      <c r="K654" t="s">
        <v>74</v>
      </c>
      <c r="L654" t="s">
        <v>74</v>
      </c>
      <c r="M654" t="s">
        <v>74</v>
      </c>
      <c r="N654" t="s">
        <v>78</v>
      </c>
      <c r="O654" t="s">
        <v>74</v>
      </c>
      <c r="P654" t="s">
        <v>74</v>
      </c>
      <c r="Q654" t="s">
        <v>74</v>
      </c>
      <c r="R654" t="s">
        <v>74</v>
      </c>
      <c r="S654" t="s">
        <v>74</v>
      </c>
      <c r="T654" t="s">
        <v>7328</v>
      </c>
      <c r="U654" t="s">
        <v>74</v>
      </c>
      <c r="V654" t="s">
        <v>7329</v>
      </c>
      <c r="W654" t="s">
        <v>7330</v>
      </c>
      <c r="X654" t="s">
        <v>5782</v>
      </c>
      <c r="Y654" t="s">
        <v>7331</v>
      </c>
      <c r="Z654" t="s">
        <v>5784</v>
      </c>
      <c r="AA654" t="s">
        <v>74</v>
      </c>
      <c r="AB654" t="s">
        <v>74</v>
      </c>
      <c r="AC654" t="s">
        <v>74</v>
      </c>
      <c r="AD654" t="s">
        <v>74</v>
      </c>
      <c r="AE654" t="s">
        <v>74</v>
      </c>
      <c r="AF654" t="s">
        <v>74</v>
      </c>
      <c r="AG654">
        <v>33</v>
      </c>
      <c r="AH654">
        <v>1</v>
      </c>
      <c r="AI654">
        <v>1</v>
      </c>
      <c r="AJ654">
        <v>49</v>
      </c>
      <c r="AK654">
        <v>49</v>
      </c>
      <c r="AL654" t="s">
        <v>74</v>
      </c>
      <c r="AM654" t="s">
        <v>74</v>
      </c>
      <c r="AN654" t="s">
        <v>74</v>
      </c>
      <c r="AO654" t="s">
        <v>1193</v>
      </c>
      <c r="AP654" t="s">
        <v>1194</v>
      </c>
      <c r="AQ654" t="s">
        <v>74</v>
      </c>
      <c r="AR654" t="s">
        <v>74</v>
      </c>
      <c r="AS654" t="s">
        <v>74</v>
      </c>
      <c r="AT654" t="s">
        <v>6277</v>
      </c>
      <c r="AU654">
        <v>2022</v>
      </c>
      <c r="AV654">
        <v>242</v>
      </c>
      <c r="AW654" t="s">
        <v>74</v>
      </c>
      <c r="AX654" t="s">
        <v>74</v>
      </c>
      <c r="AY654" t="s">
        <v>74</v>
      </c>
      <c r="AZ654" t="s">
        <v>74</v>
      </c>
      <c r="BA654" t="s">
        <v>74</v>
      </c>
      <c r="BB654" t="s">
        <v>74</v>
      </c>
      <c r="BC654" t="s">
        <v>74</v>
      </c>
      <c r="BD654">
        <v>123306</v>
      </c>
      <c r="BE654" t="s">
        <v>7332</v>
      </c>
      <c r="BF654" t="str">
        <f>HYPERLINK("http://dx.doi.org/10.1016/j.talanta.2022.123306","http://dx.doi.org/10.1016/j.talanta.2022.123306")</f>
        <v>http://dx.doi.org/10.1016/j.talanta.2022.123306</v>
      </c>
      <c r="BG654" t="s">
        <v>74</v>
      </c>
      <c r="BH654" t="s">
        <v>74</v>
      </c>
      <c r="BI654" t="s">
        <v>74</v>
      </c>
      <c r="BJ654" t="s">
        <v>1196</v>
      </c>
      <c r="BK654" t="s">
        <v>112</v>
      </c>
      <c r="BL654" t="s">
        <v>1197</v>
      </c>
      <c r="BM654" t="s">
        <v>74</v>
      </c>
      <c r="BN654">
        <v>35189412</v>
      </c>
      <c r="BO654" t="s">
        <v>74</v>
      </c>
      <c r="BP654" t="s">
        <v>74</v>
      </c>
      <c r="BQ654" t="s">
        <v>74</v>
      </c>
      <c r="BR654" t="s">
        <v>93</v>
      </c>
      <c r="BS654" t="s">
        <v>7333</v>
      </c>
      <c r="BT654" t="str">
        <f>HYPERLINK("https%3A%2F%2Fwww.webofscience.com%2Fwos%2Fwoscc%2Ffull-record%2FWOS:000759331100007","View Full Record in Web of Science")</f>
        <v>View Full Record in Web of Science</v>
      </c>
    </row>
    <row r="655" spans="1:72" x14ac:dyDescent="0.15">
      <c r="A655" t="s">
        <v>72</v>
      </c>
      <c r="B655" t="s">
        <v>7334</v>
      </c>
      <c r="C655" t="s">
        <v>74</v>
      </c>
      <c r="D655" t="s">
        <v>74</v>
      </c>
      <c r="E655" t="s">
        <v>74</v>
      </c>
      <c r="F655" t="s">
        <v>7335</v>
      </c>
      <c r="G655" t="s">
        <v>74</v>
      </c>
      <c r="H655" t="s">
        <v>74</v>
      </c>
      <c r="I655" t="s">
        <v>7336</v>
      </c>
      <c r="J655" t="s">
        <v>7337</v>
      </c>
      <c r="K655" t="s">
        <v>74</v>
      </c>
      <c r="L655" t="s">
        <v>74</v>
      </c>
      <c r="M655" t="s">
        <v>74</v>
      </c>
      <c r="N655" t="s">
        <v>78</v>
      </c>
      <c r="O655" t="s">
        <v>74</v>
      </c>
      <c r="P655" t="s">
        <v>74</v>
      </c>
      <c r="Q655" t="s">
        <v>74</v>
      </c>
      <c r="R655" t="s">
        <v>74</v>
      </c>
      <c r="S655" t="s">
        <v>74</v>
      </c>
      <c r="T655" t="s">
        <v>7338</v>
      </c>
      <c r="U655" t="s">
        <v>7339</v>
      </c>
      <c r="V655" t="s">
        <v>7340</v>
      </c>
      <c r="W655" t="s">
        <v>7341</v>
      </c>
      <c r="X655" t="s">
        <v>7342</v>
      </c>
      <c r="Y655" t="s">
        <v>7343</v>
      </c>
      <c r="Z655" t="s">
        <v>7344</v>
      </c>
      <c r="AA655" t="s">
        <v>74</v>
      </c>
      <c r="AB655" t="s">
        <v>7345</v>
      </c>
      <c r="AC655" t="s">
        <v>74</v>
      </c>
      <c r="AD655" t="s">
        <v>74</v>
      </c>
      <c r="AE655" t="s">
        <v>74</v>
      </c>
      <c r="AF655" t="s">
        <v>74</v>
      </c>
      <c r="AG655">
        <v>26</v>
      </c>
      <c r="AH655">
        <v>1</v>
      </c>
      <c r="AI655">
        <v>1</v>
      </c>
      <c r="AJ655">
        <v>1</v>
      </c>
      <c r="AK655">
        <v>1</v>
      </c>
      <c r="AL655" t="s">
        <v>74</v>
      </c>
      <c r="AM655" t="s">
        <v>74</v>
      </c>
      <c r="AN655" t="s">
        <v>74</v>
      </c>
      <c r="AO655" t="s">
        <v>7346</v>
      </c>
      <c r="AP655" t="s">
        <v>7347</v>
      </c>
      <c r="AQ655" t="s">
        <v>74</v>
      </c>
      <c r="AR655" t="s">
        <v>74</v>
      </c>
      <c r="AS655" t="s">
        <v>74</v>
      </c>
      <c r="AT655" t="s">
        <v>659</v>
      </c>
      <c r="AU655">
        <v>2022</v>
      </c>
      <c r="AV655">
        <v>69</v>
      </c>
      <c r="AW655">
        <v>9</v>
      </c>
      <c r="AX655" t="s">
        <v>74</v>
      </c>
      <c r="AY655" t="s">
        <v>74</v>
      </c>
      <c r="AZ655" t="s">
        <v>74</v>
      </c>
      <c r="BA655" t="s">
        <v>74</v>
      </c>
      <c r="BB655" t="s">
        <v>74</v>
      </c>
      <c r="BC655" t="s">
        <v>74</v>
      </c>
      <c r="BD655" t="s">
        <v>7348</v>
      </c>
      <c r="BE655" t="s">
        <v>7349</v>
      </c>
      <c r="BF655" t="str">
        <f>HYPERLINK("http://dx.doi.org/10.1002/pbc.29652","http://dx.doi.org/10.1002/pbc.29652")</f>
        <v>http://dx.doi.org/10.1002/pbc.29652</v>
      </c>
      <c r="BG655" t="s">
        <v>74</v>
      </c>
      <c r="BH655" t="s">
        <v>3809</v>
      </c>
      <c r="BI655" t="s">
        <v>74</v>
      </c>
      <c r="BJ655" t="s">
        <v>7350</v>
      </c>
      <c r="BK655" t="s">
        <v>112</v>
      </c>
      <c r="BL655" t="s">
        <v>7350</v>
      </c>
      <c r="BM655" t="s">
        <v>74</v>
      </c>
      <c r="BN655">
        <v>35338758</v>
      </c>
      <c r="BO655" t="s">
        <v>74</v>
      </c>
      <c r="BP655" t="s">
        <v>74</v>
      </c>
      <c r="BQ655" t="s">
        <v>74</v>
      </c>
      <c r="BR655" t="s">
        <v>93</v>
      </c>
      <c r="BS655" t="s">
        <v>7351</v>
      </c>
      <c r="BT655" t="str">
        <f>HYPERLINK("https%3A%2F%2Fwww.webofscience.com%2Fwos%2Fwoscc%2Ffull-record%2FWOS:000773290100001","View Full Record in Web of Science")</f>
        <v>View Full Record in Web of Science</v>
      </c>
    </row>
    <row r="656" spans="1:72" x14ac:dyDescent="0.15">
      <c r="A656" t="s">
        <v>312</v>
      </c>
      <c r="B656" t="s">
        <v>7408</v>
      </c>
      <c r="C656" t="s">
        <v>74</v>
      </c>
      <c r="D656" t="s">
        <v>7409</v>
      </c>
      <c r="E656" t="s">
        <v>74</v>
      </c>
      <c r="F656" t="s">
        <v>7410</v>
      </c>
      <c r="G656" t="s">
        <v>74</v>
      </c>
      <c r="H656" t="s">
        <v>74</v>
      </c>
      <c r="I656" t="s">
        <v>7411</v>
      </c>
      <c r="J656" t="s">
        <v>7412</v>
      </c>
      <c r="K656" t="s">
        <v>318</v>
      </c>
      <c r="L656" t="s">
        <v>74</v>
      </c>
      <c r="M656" t="s">
        <v>74</v>
      </c>
      <c r="N656" t="s">
        <v>319</v>
      </c>
      <c r="O656" t="s">
        <v>74</v>
      </c>
      <c r="P656" t="s">
        <v>74</v>
      </c>
      <c r="Q656" t="s">
        <v>74</v>
      </c>
      <c r="R656" t="s">
        <v>74</v>
      </c>
      <c r="S656" t="s">
        <v>74</v>
      </c>
      <c r="T656" t="s">
        <v>7413</v>
      </c>
      <c r="U656" t="s">
        <v>7414</v>
      </c>
      <c r="V656" t="s">
        <v>7415</v>
      </c>
      <c r="W656" t="s">
        <v>7416</v>
      </c>
      <c r="X656" t="s">
        <v>7417</v>
      </c>
      <c r="Y656" t="s">
        <v>7418</v>
      </c>
      <c r="Z656" t="s">
        <v>74</v>
      </c>
      <c r="AA656" t="s">
        <v>7419</v>
      </c>
      <c r="AB656" t="s">
        <v>7420</v>
      </c>
      <c r="AC656" t="s">
        <v>74</v>
      </c>
      <c r="AD656" t="s">
        <v>74</v>
      </c>
      <c r="AE656" t="s">
        <v>74</v>
      </c>
      <c r="AF656" t="s">
        <v>74</v>
      </c>
      <c r="AG656">
        <v>65</v>
      </c>
      <c r="AH656">
        <v>1</v>
      </c>
      <c r="AI656">
        <v>1</v>
      </c>
      <c r="AJ656">
        <v>2</v>
      </c>
      <c r="AK656">
        <v>6</v>
      </c>
      <c r="AL656" t="s">
        <v>74</v>
      </c>
      <c r="AM656" t="s">
        <v>74</v>
      </c>
      <c r="AN656" t="s">
        <v>74</v>
      </c>
      <c r="AO656" t="s">
        <v>328</v>
      </c>
      <c r="AP656" t="s">
        <v>329</v>
      </c>
      <c r="AQ656" t="s">
        <v>7421</v>
      </c>
      <c r="AR656" t="s">
        <v>74</v>
      </c>
      <c r="AS656" t="s">
        <v>74</v>
      </c>
      <c r="AT656" t="s">
        <v>74</v>
      </c>
      <c r="AU656">
        <v>2021</v>
      </c>
      <c r="AV656">
        <v>2292</v>
      </c>
      <c r="AW656" t="s">
        <v>74</v>
      </c>
      <c r="AX656" t="s">
        <v>74</v>
      </c>
      <c r="AY656" t="s">
        <v>74</v>
      </c>
      <c r="AZ656" t="s">
        <v>74</v>
      </c>
      <c r="BA656" t="s">
        <v>74</v>
      </c>
      <c r="BB656">
        <v>3</v>
      </c>
      <c r="BC656">
        <v>15</v>
      </c>
      <c r="BD656" t="s">
        <v>74</v>
      </c>
      <c r="BE656" t="s">
        <v>7422</v>
      </c>
      <c r="BF656" t="str">
        <f>HYPERLINK("http://dx.doi.org/10.1007/978-1-0716-1354-2_1","http://dx.doi.org/10.1007/978-1-0716-1354-2_1")</f>
        <v>http://dx.doi.org/10.1007/978-1-0716-1354-2_1</v>
      </c>
      <c r="BG656" t="s">
        <v>7423</v>
      </c>
      <c r="BH656" t="s">
        <v>74</v>
      </c>
      <c r="BI656" t="s">
        <v>74</v>
      </c>
      <c r="BJ656" t="s">
        <v>7424</v>
      </c>
      <c r="BK656" t="s">
        <v>334</v>
      </c>
      <c r="BL656" t="s">
        <v>771</v>
      </c>
      <c r="BM656" t="s">
        <v>74</v>
      </c>
      <c r="BN656">
        <v>33651347</v>
      </c>
      <c r="BO656" t="s">
        <v>74</v>
      </c>
      <c r="BP656" t="s">
        <v>74</v>
      </c>
      <c r="BQ656" t="s">
        <v>74</v>
      </c>
      <c r="BR656" t="s">
        <v>93</v>
      </c>
      <c r="BS656" t="s">
        <v>7425</v>
      </c>
      <c r="BT656" t="str">
        <f>HYPERLINK("https%3A%2F%2Fwww.webofscience.com%2Fwos%2Fwoscc%2Ffull-record%2FWOS:000691011000002","View Full Record in Web of Science")</f>
        <v>View Full Record in Web of Science</v>
      </c>
    </row>
    <row r="657" spans="1:72" x14ac:dyDescent="0.15">
      <c r="A657" t="s">
        <v>72</v>
      </c>
      <c r="B657" t="s">
        <v>7478</v>
      </c>
      <c r="C657" t="s">
        <v>74</v>
      </c>
      <c r="D657" t="s">
        <v>74</v>
      </c>
      <c r="E657" t="s">
        <v>74</v>
      </c>
      <c r="F657" t="s">
        <v>7479</v>
      </c>
      <c r="G657" t="s">
        <v>74</v>
      </c>
      <c r="H657" t="s">
        <v>74</v>
      </c>
      <c r="I657" t="s">
        <v>7480</v>
      </c>
      <c r="J657" t="s">
        <v>7481</v>
      </c>
      <c r="K657" t="s">
        <v>74</v>
      </c>
      <c r="L657" t="s">
        <v>74</v>
      </c>
      <c r="M657" t="s">
        <v>74</v>
      </c>
      <c r="N657" t="s">
        <v>78</v>
      </c>
      <c r="O657" t="s">
        <v>74</v>
      </c>
      <c r="P657" t="s">
        <v>74</v>
      </c>
      <c r="Q657" t="s">
        <v>74</v>
      </c>
      <c r="R657" t="s">
        <v>74</v>
      </c>
      <c r="S657" t="s">
        <v>74</v>
      </c>
      <c r="T657" t="s">
        <v>7482</v>
      </c>
      <c r="U657" t="s">
        <v>7483</v>
      </c>
      <c r="V657" t="s">
        <v>7484</v>
      </c>
      <c r="W657" t="s">
        <v>7485</v>
      </c>
      <c r="X657" t="s">
        <v>7486</v>
      </c>
      <c r="Y657" t="s">
        <v>7487</v>
      </c>
      <c r="Z657" t="s">
        <v>7488</v>
      </c>
      <c r="AA657" t="s">
        <v>74</v>
      </c>
      <c r="AB657" t="s">
        <v>74</v>
      </c>
      <c r="AC657" t="s">
        <v>74</v>
      </c>
      <c r="AD657" t="s">
        <v>74</v>
      </c>
      <c r="AE657" t="s">
        <v>74</v>
      </c>
      <c r="AF657" t="s">
        <v>74</v>
      </c>
      <c r="AG657">
        <v>35</v>
      </c>
      <c r="AH657">
        <v>1</v>
      </c>
      <c r="AI657">
        <v>1</v>
      </c>
      <c r="AJ657">
        <v>2</v>
      </c>
      <c r="AK657">
        <v>2</v>
      </c>
      <c r="AL657" t="s">
        <v>74</v>
      </c>
      <c r="AM657" t="s">
        <v>74</v>
      </c>
      <c r="AN657" t="s">
        <v>74</v>
      </c>
      <c r="AO657" t="s">
        <v>7489</v>
      </c>
      <c r="AP657" t="s">
        <v>7490</v>
      </c>
      <c r="AQ657" t="s">
        <v>74</v>
      </c>
      <c r="AR657" t="s">
        <v>74</v>
      </c>
      <c r="AS657" t="s">
        <v>74</v>
      </c>
      <c r="AT657" t="s">
        <v>7491</v>
      </c>
      <c r="AU657">
        <v>2022</v>
      </c>
      <c r="AV657">
        <v>61</v>
      </c>
      <c r="AW657">
        <v>6</v>
      </c>
      <c r="AX657" t="s">
        <v>74</v>
      </c>
      <c r="AY657" t="s">
        <v>74</v>
      </c>
      <c r="AZ657" t="s">
        <v>74</v>
      </c>
      <c r="BA657" t="s">
        <v>74</v>
      </c>
      <c r="BB657">
        <v>2672</v>
      </c>
      <c r="BC657">
        <v>2681</v>
      </c>
      <c r="BD657" t="s">
        <v>74</v>
      </c>
      <c r="BE657" t="s">
        <v>7492</v>
      </c>
      <c r="BF657" t="str">
        <f>HYPERLINK("http://dx.doi.org/10.1093/rheumatology/keab753","http://dx.doi.org/10.1093/rheumatology/keab753")</f>
        <v>http://dx.doi.org/10.1093/rheumatology/keab753</v>
      </c>
      <c r="BG657" t="s">
        <v>74</v>
      </c>
      <c r="BH657" t="s">
        <v>5543</v>
      </c>
      <c r="BI657" t="s">
        <v>74</v>
      </c>
      <c r="BJ657" t="s">
        <v>5774</v>
      </c>
      <c r="BK657" t="s">
        <v>112</v>
      </c>
      <c r="BL657" t="s">
        <v>5774</v>
      </c>
      <c r="BM657" t="s">
        <v>74</v>
      </c>
      <c r="BN657">
        <v>34698812</v>
      </c>
      <c r="BO657" t="s">
        <v>74</v>
      </c>
      <c r="BP657" t="s">
        <v>74</v>
      </c>
      <c r="BQ657" t="s">
        <v>74</v>
      </c>
      <c r="BR657" t="s">
        <v>93</v>
      </c>
      <c r="BS657" t="s">
        <v>7493</v>
      </c>
      <c r="BT657" t="str">
        <f>HYPERLINK("https%3A%2F%2Fwww.webofscience.com%2Fwos%2Fwoscc%2Ffull-record%2FWOS:000789281000001","View Full Record in Web of Science")</f>
        <v>View Full Record in Web of Science</v>
      </c>
    </row>
    <row r="658" spans="1:72" x14ac:dyDescent="0.15">
      <c r="A658" t="s">
        <v>312</v>
      </c>
      <c r="B658" t="s">
        <v>8169</v>
      </c>
      <c r="C658" t="s">
        <v>74</v>
      </c>
      <c r="D658" t="s">
        <v>8170</v>
      </c>
      <c r="E658" t="s">
        <v>74</v>
      </c>
      <c r="F658" t="s">
        <v>8171</v>
      </c>
      <c r="G658" t="s">
        <v>74</v>
      </c>
      <c r="H658" t="s">
        <v>74</v>
      </c>
      <c r="I658" t="s">
        <v>8172</v>
      </c>
      <c r="J658" t="s">
        <v>8173</v>
      </c>
      <c r="K658" t="s">
        <v>8174</v>
      </c>
      <c r="L658" t="s">
        <v>74</v>
      </c>
      <c r="M658" t="s">
        <v>74</v>
      </c>
      <c r="N658" t="s">
        <v>319</v>
      </c>
      <c r="O658" t="s">
        <v>74</v>
      </c>
      <c r="P658" t="s">
        <v>74</v>
      </c>
      <c r="Q658" t="s">
        <v>74</v>
      </c>
      <c r="R658" t="s">
        <v>74</v>
      </c>
      <c r="S658" t="s">
        <v>74</v>
      </c>
      <c r="T658" t="s">
        <v>74</v>
      </c>
      <c r="U658" t="s">
        <v>8175</v>
      </c>
      <c r="V658" t="s">
        <v>8176</v>
      </c>
      <c r="W658" t="s">
        <v>8177</v>
      </c>
      <c r="X658" t="s">
        <v>8178</v>
      </c>
      <c r="Y658" t="s">
        <v>8179</v>
      </c>
      <c r="Z658" t="s">
        <v>8180</v>
      </c>
      <c r="AA658" t="s">
        <v>8181</v>
      </c>
      <c r="AB658" t="s">
        <v>74</v>
      </c>
      <c r="AC658" t="s">
        <v>74</v>
      </c>
      <c r="AD658" t="s">
        <v>74</v>
      </c>
      <c r="AE658" t="s">
        <v>74</v>
      </c>
      <c r="AF658" t="s">
        <v>74</v>
      </c>
      <c r="AG658">
        <v>111</v>
      </c>
      <c r="AH658">
        <v>1</v>
      </c>
      <c r="AI658">
        <v>1</v>
      </c>
      <c r="AJ658">
        <v>0</v>
      </c>
      <c r="AK658">
        <v>3</v>
      </c>
      <c r="AL658" t="s">
        <v>74</v>
      </c>
      <c r="AM658" t="s">
        <v>74</v>
      </c>
      <c r="AN658" t="s">
        <v>74</v>
      </c>
      <c r="AO658" t="s">
        <v>8182</v>
      </c>
      <c r="AP658" t="s">
        <v>74</v>
      </c>
      <c r="AQ658" t="s">
        <v>8183</v>
      </c>
      <c r="AR658" t="s">
        <v>74</v>
      </c>
      <c r="AS658" t="s">
        <v>74</v>
      </c>
      <c r="AT658" t="s">
        <v>74</v>
      </c>
      <c r="AU658">
        <v>2012</v>
      </c>
      <c r="AV658">
        <v>16</v>
      </c>
      <c r="AW658" t="s">
        <v>74</v>
      </c>
      <c r="AX658" t="s">
        <v>74</v>
      </c>
      <c r="AY658" t="s">
        <v>74</v>
      </c>
      <c r="AZ658" t="s">
        <v>74</v>
      </c>
      <c r="BA658" t="s">
        <v>74</v>
      </c>
      <c r="BB658">
        <v>239</v>
      </c>
      <c r="BC658">
        <v>274</v>
      </c>
      <c r="BD658" t="s">
        <v>74</v>
      </c>
      <c r="BE658" t="s">
        <v>8184</v>
      </c>
      <c r="BF658" t="str">
        <f>HYPERLINK("http://dx.doi.org/10.1016/B978-0-12-396534-9.00008-8","http://dx.doi.org/10.1016/B978-0-12-396534-9.00008-8")</f>
        <v>http://dx.doi.org/10.1016/B978-0-12-396534-9.00008-8</v>
      </c>
      <c r="BG658" t="s">
        <v>74</v>
      </c>
      <c r="BH658" t="s">
        <v>74</v>
      </c>
      <c r="BI658" t="s">
        <v>74</v>
      </c>
      <c r="BJ658" t="s">
        <v>2701</v>
      </c>
      <c r="BK658" t="s">
        <v>334</v>
      </c>
      <c r="BL658" t="s">
        <v>2701</v>
      </c>
      <c r="BM658" t="s">
        <v>74</v>
      </c>
      <c r="BN658" t="s">
        <v>74</v>
      </c>
      <c r="BO658" t="s">
        <v>74</v>
      </c>
      <c r="BP658" t="s">
        <v>74</v>
      </c>
      <c r="BQ658" t="s">
        <v>74</v>
      </c>
      <c r="BR658" t="s">
        <v>93</v>
      </c>
      <c r="BS658" t="s">
        <v>8185</v>
      </c>
      <c r="BT658" t="str">
        <f>HYPERLINK("https%3A%2F%2Fwww.webofscience.com%2Fwos%2Fwoscc%2Ffull-record%2FWOS:000322771200008","View Full Record in Web of Science")</f>
        <v>View Full Record in Web of Science</v>
      </c>
    </row>
    <row r="659" spans="1:72" x14ac:dyDescent="0.15">
      <c r="A659" t="s">
        <v>72</v>
      </c>
      <c r="B659" t="s">
        <v>8242</v>
      </c>
      <c r="C659" t="s">
        <v>74</v>
      </c>
      <c r="D659" t="s">
        <v>74</v>
      </c>
      <c r="E659" t="s">
        <v>74</v>
      </c>
      <c r="F659" t="s">
        <v>8243</v>
      </c>
      <c r="G659" t="s">
        <v>74</v>
      </c>
      <c r="H659" t="s">
        <v>74</v>
      </c>
      <c r="I659" t="s">
        <v>8244</v>
      </c>
      <c r="J659" t="s">
        <v>8245</v>
      </c>
      <c r="K659" t="s">
        <v>74</v>
      </c>
      <c r="L659" t="s">
        <v>74</v>
      </c>
      <c r="M659" t="s">
        <v>74</v>
      </c>
      <c r="N659" t="s">
        <v>78</v>
      </c>
      <c r="O659" t="s">
        <v>74</v>
      </c>
      <c r="P659" t="s">
        <v>74</v>
      </c>
      <c r="Q659" t="s">
        <v>74</v>
      </c>
      <c r="R659" t="s">
        <v>74</v>
      </c>
      <c r="S659" t="s">
        <v>74</v>
      </c>
      <c r="T659" t="s">
        <v>8246</v>
      </c>
      <c r="U659" t="s">
        <v>8247</v>
      </c>
      <c r="V659" t="s">
        <v>8248</v>
      </c>
      <c r="W659" t="s">
        <v>8249</v>
      </c>
      <c r="X659" t="s">
        <v>8250</v>
      </c>
      <c r="Y659" t="s">
        <v>8251</v>
      </c>
      <c r="Z659" t="s">
        <v>8252</v>
      </c>
      <c r="AA659" t="s">
        <v>74</v>
      </c>
      <c r="AB659" t="s">
        <v>8253</v>
      </c>
      <c r="AC659" t="s">
        <v>74</v>
      </c>
      <c r="AD659" t="s">
        <v>74</v>
      </c>
      <c r="AE659" t="s">
        <v>74</v>
      </c>
      <c r="AF659" t="s">
        <v>74</v>
      </c>
      <c r="AG659">
        <v>45</v>
      </c>
      <c r="AH659">
        <v>1</v>
      </c>
      <c r="AI659">
        <v>1</v>
      </c>
      <c r="AJ659">
        <v>0</v>
      </c>
      <c r="AK659">
        <v>0</v>
      </c>
      <c r="AL659" t="s">
        <v>74</v>
      </c>
      <c r="AM659" t="s">
        <v>74</v>
      </c>
      <c r="AN659" t="s">
        <v>74</v>
      </c>
      <c r="AO659" t="s">
        <v>8254</v>
      </c>
      <c r="AP659" t="s">
        <v>8255</v>
      </c>
      <c r="AQ659" t="s">
        <v>74</v>
      </c>
      <c r="AR659" t="s">
        <v>74</v>
      </c>
      <c r="AS659" t="s">
        <v>74</v>
      </c>
      <c r="AT659" t="s">
        <v>236</v>
      </c>
      <c r="AU659">
        <v>2021</v>
      </c>
      <c r="AV659">
        <v>258</v>
      </c>
      <c r="AW659" t="s">
        <v>74</v>
      </c>
      <c r="AX659" t="s">
        <v>74</v>
      </c>
      <c r="AY659" t="s">
        <v>74</v>
      </c>
      <c r="AZ659" t="s">
        <v>74</v>
      </c>
      <c r="BA659" t="s">
        <v>74</v>
      </c>
      <c r="BB659">
        <v>93</v>
      </c>
      <c r="BC659">
        <v>100</v>
      </c>
      <c r="BD659" t="s">
        <v>74</v>
      </c>
      <c r="BE659" t="s">
        <v>8256</v>
      </c>
      <c r="BF659" t="str">
        <f>HYPERLINK("http://dx.doi.org/10.1016/j.cancergen.2021.08.005","http://dx.doi.org/10.1016/j.cancergen.2021.08.005")</f>
        <v>http://dx.doi.org/10.1016/j.cancergen.2021.08.005</v>
      </c>
      <c r="BG659" t="s">
        <v>74</v>
      </c>
      <c r="BH659" t="s">
        <v>5543</v>
      </c>
      <c r="BI659" t="s">
        <v>74</v>
      </c>
      <c r="BJ659" t="s">
        <v>8240</v>
      </c>
      <c r="BK659" t="s">
        <v>112</v>
      </c>
      <c r="BL659" t="s">
        <v>8240</v>
      </c>
      <c r="BM659" t="s">
        <v>74</v>
      </c>
      <c r="BN659">
        <v>34688997</v>
      </c>
      <c r="BO659" t="s">
        <v>74</v>
      </c>
      <c r="BP659" t="s">
        <v>74</v>
      </c>
      <c r="BQ659" t="s">
        <v>74</v>
      </c>
      <c r="BR659" t="s">
        <v>93</v>
      </c>
      <c r="BS659" t="s">
        <v>8257</v>
      </c>
      <c r="BT659" t="str">
        <f>HYPERLINK("https%3A%2F%2Fwww.webofscience.com%2Fwos%2Fwoscc%2Ffull-record%2FWOS:000712461400001","View Full Record in Web of Science")</f>
        <v>View Full Record in Web of Science</v>
      </c>
    </row>
    <row r="660" spans="1:72" x14ac:dyDescent="0.15">
      <c r="A660" t="s">
        <v>72</v>
      </c>
      <c r="B660" t="s">
        <v>8408</v>
      </c>
      <c r="C660" t="s">
        <v>74</v>
      </c>
      <c r="D660" t="s">
        <v>74</v>
      </c>
      <c r="E660" t="s">
        <v>74</v>
      </c>
      <c r="F660" t="s">
        <v>8409</v>
      </c>
      <c r="G660" t="s">
        <v>74</v>
      </c>
      <c r="H660" t="s">
        <v>74</v>
      </c>
      <c r="I660" t="s">
        <v>8410</v>
      </c>
      <c r="J660" t="s">
        <v>8411</v>
      </c>
      <c r="K660" t="s">
        <v>74</v>
      </c>
      <c r="L660" t="s">
        <v>74</v>
      </c>
      <c r="M660" t="s">
        <v>74</v>
      </c>
      <c r="N660" t="s">
        <v>78</v>
      </c>
      <c r="O660" t="s">
        <v>74</v>
      </c>
      <c r="P660" t="s">
        <v>74</v>
      </c>
      <c r="Q660" t="s">
        <v>74</v>
      </c>
      <c r="R660" t="s">
        <v>74</v>
      </c>
      <c r="S660" t="s">
        <v>74</v>
      </c>
      <c r="T660" t="s">
        <v>8412</v>
      </c>
      <c r="U660" t="s">
        <v>8413</v>
      </c>
      <c r="V660" t="s">
        <v>8414</v>
      </c>
      <c r="W660" t="s">
        <v>8415</v>
      </c>
      <c r="X660" t="s">
        <v>8416</v>
      </c>
      <c r="Y660" t="s">
        <v>8417</v>
      </c>
      <c r="Z660" t="s">
        <v>8418</v>
      </c>
      <c r="AA660" t="s">
        <v>8419</v>
      </c>
      <c r="AB660" t="s">
        <v>8420</v>
      </c>
      <c r="AC660" t="s">
        <v>74</v>
      </c>
      <c r="AD660" t="s">
        <v>74</v>
      </c>
      <c r="AE660" t="s">
        <v>74</v>
      </c>
      <c r="AF660" t="s">
        <v>74</v>
      </c>
      <c r="AG660">
        <v>37</v>
      </c>
      <c r="AH660">
        <v>1</v>
      </c>
      <c r="AI660">
        <v>1</v>
      </c>
      <c r="AJ660">
        <v>2</v>
      </c>
      <c r="AK660">
        <v>2</v>
      </c>
      <c r="AL660" t="s">
        <v>74</v>
      </c>
      <c r="AM660" t="s">
        <v>74</v>
      </c>
      <c r="AN660" t="s">
        <v>74</v>
      </c>
      <c r="AO660" t="s">
        <v>8421</v>
      </c>
      <c r="AP660" t="s">
        <v>8422</v>
      </c>
      <c r="AQ660" t="s">
        <v>74</v>
      </c>
      <c r="AR660" t="s">
        <v>74</v>
      </c>
      <c r="AS660" t="s">
        <v>74</v>
      </c>
      <c r="AT660" t="s">
        <v>1111</v>
      </c>
      <c r="AU660">
        <v>2022</v>
      </c>
      <c r="AV660">
        <v>10</v>
      </c>
      <c r="AW660">
        <v>10</v>
      </c>
      <c r="AX660" t="s">
        <v>74</v>
      </c>
      <c r="AY660" t="s">
        <v>74</v>
      </c>
      <c r="AZ660" t="s">
        <v>74</v>
      </c>
      <c r="BA660" t="s">
        <v>74</v>
      </c>
      <c r="BB660" t="s">
        <v>74</v>
      </c>
      <c r="BC660" t="s">
        <v>74</v>
      </c>
      <c r="BD660" t="s">
        <v>74</v>
      </c>
      <c r="BE660" t="s">
        <v>8423</v>
      </c>
      <c r="BF660" t="str">
        <f>HYPERLINK("http://dx.doi.org/10.21037/atm-22-2119","http://dx.doi.org/10.21037/atm-22-2119")</f>
        <v>http://dx.doi.org/10.21037/atm-22-2119</v>
      </c>
      <c r="BG660" t="s">
        <v>74</v>
      </c>
      <c r="BH660" t="s">
        <v>3679</v>
      </c>
      <c r="BI660" t="s">
        <v>74</v>
      </c>
      <c r="BJ660" t="s">
        <v>3565</v>
      </c>
      <c r="BK660" t="s">
        <v>112</v>
      </c>
      <c r="BL660" t="s">
        <v>3566</v>
      </c>
      <c r="BM660" t="s">
        <v>74</v>
      </c>
      <c r="BN660">
        <v>35722385</v>
      </c>
      <c r="BO660" t="s">
        <v>74</v>
      </c>
      <c r="BP660" t="s">
        <v>74</v>
      </c>
      <c r="BQ660" t="s">
        <v>74</v>
      </c>
      <c r="BR660" t="s">
        <v>93</v>
      </c>
      <c r="BS660" t="s">
        <v>8424</v>
      </c>
      <c r="BT660" t="str">
        <f>HYPERLINK("https%3A%2F%2Fwww.webofscience.com%2Fwos%2Fwoscc%2Ffull-record%2FWOS:000802758400001","View Full Record in Web of Science")</f>
        <v>View Full Record in Web of Science</v>
      </c>
    </row>
    <row r="661" spans="1:72" x14ac:dyDescent="0.15">
      <c r="A661" t="s">
        <v>72</v>
      </c>
      <c r="B661" t="s">
        <v>8828</v>
      </c>
      <c r="C661" t="s">
        <v>74</v>
      </c>
      <c r="D661" t="s">
        <v>74</v>
      </c>
      <c r="E661" t="s">
        <v>74</v>
      </c>
      <c r="F661" t="s">
        <v>8829</v>
      </c>
      <c r="G661" t="s">
        <v>74</v>
      </c>
      <c r="H661" t="s">
        <v>74</v>
      </c>
      <c r="I661" t="s">
        <v>8830</v>
      </c>
      <c r="J661" t="s">
        <v>992</v>
      </c>
      <c r="K661" t="s">
        <v>74</v>
      </c>
      <c r="L661" t="s">
        <v>74</v>
      </c>
      <c r="M661" t="s">
        <v>74</v>
      </c>
      <c r="N661" t="s">
        <v>78</v>
      </c>
      <c r="O661" t="s">
        <v>74</v>
      </c>
      <c r="P661" t="s">
        <v>74</v>
      </c>
      <c r="Q661" t="s">
        <v>74</v>
      </c>
      <c r="R661" t="s">
        <v>74</v>
      </c>
      <c r="S661" t="s">
        <v>74</v>
      </c>
      <c r="T661" t="s">
        <v>8831</v>
      </c>
      <c r="U661" t="s">
        <v>8832</v>
      </c>
      <c r="V661" t="s">
        <v>8833</v>
      </c>
      <c r="W661" t="s">
        <v>8834</v>
      </c>
      <c r="X661" t="s">
        <v>8835</v>
      </c>
      <c r="Y661" t="s">
        <v>8836</v>
      </c>
      <c r="Z661" t="s">
        <v>8837</v>
      </c>
      <c r="AA661" t="s">
        <v>8838</v>
      </c>
      <c r="AB661" t="s">
        <v>8839</v>
      </c>
      <c r="AC661" t="s">
        <v>74</v>
      </c>
      <c r="AD661" t="s">
        <v>74</v>
      </c>
      <c r="AE661" t="s">
        <v>74</v>
      </c>
      <c r="AF661" t="s">
        <v>74</v>
      </c>
      <c r="AG661">
        <v>48</v>
      </c>
      <c r="AH661">
        <v>1</v>
      </c>
      <c r="AI661">
        <v>1</v>
      </c>
      <c r="AJ661">
        <v>26</v>
      </c>
      <c r="AK661">
        <v>26</v>
      </c>
      <c r="AL661" t="s">
        <v>74</v>
      </c>
      <c r="AM661" t="s">
        <v>74</v>
      </c>
      <c r="AN661" t="s">
        <v>74</v>
      </c>
      <c r="AO661" t="s">
        <v>1001</v>
      </c>
      <c r="AP661" t="s">
        <v>1002</v>
      </c>
      <c r="AQ661" t="s">
        <v>74</v>
      </c>
      <c r="AR661" t="s">
        <v>74</v>
      </c>
      <c r="AS661" t="s">
        <v>74</v>
      </c>
      <c r="AT661" t="s">
        <v>5314</v>
      </c>
      <c r="AU661">
        <v>2022</v>
      </c>
      <c r="AV661">
        <v>207</v>
      </c>
      <c r="AW661" t="s">
        <v>74</v>
      </c>
      <c r="AX661" t="s">
        <v>74</v>
      </c>
      <c r="AY661" t="s">
        <v>74</v>
      </c>
      <c r="AZ661" t="s">
        <v>74</v>
      </c>
      <c r="BA661" t="s">
        <v>74</v>
      </c>
      <c r="BB661" t="s">
        <v>74</v>
      </c>
      <c r="BC661" t="s">
        <v>74</v>
      </c>
      <c r="BD661">
        <v>114149</v>
      </c>
      <c r="BE661" t="s">
        <v>8840</v>
      </c>
      <c r="BF661" t="str">
        <f>HYPERLINK("http://dx.doi.org/10.1016/j.bios.2022.114149","http://dx.doi.org/10.1016/j.bios.2022.114149")</f>
        <v>http://dx.doi.org/10.1016/j.bios.2022.114149</v>
      </c>
      <c r="BG661" t="s">
        <v>74</v>
      </c>
      <c r="BH661" t="s">
        <v>74</v>
      </c>
      <c r="BI661" t="s">
        <v>74</v>
      </c>
      <c r="BJ661" t="s">
        <v>1006</v>
      </c>
      <c r="BK661" t="s">
        <v>112</v>
      </c>
      <c r="BL661" t="s">
        <v>1007</v>
      </c>
      <c r="BM661" t="s">
        <v>74</v>
      </c>
      <c r="BN661">
        <v>35290882</v>
      </c>
      <c r="BO661" t="s">
        <v>74</v>
      </c>
      <c r="BP661" t="s">
        <v>74</v>
      </c>
      <c r="BQ661" t="s">
        <v>74</v>
      </c>
      <c r="BR661" t="s">
        <v>93</v>
      </c>
      <c r="BS661" t="s">
        <v>8841</v>
      </c>
      <c r="BT661" t="str">
        <f>HYPERLINK("https%3A%2F%2Fwww.webofscience.com%2Fwos%2Fwoscc%2Ffull-record%2FWOS:000782656700005","View Full Record in Web of Science")</f>
        <v>View Full Record in Web of Science</v>
      </c>
    </row>
    <row r="662" spans="1:72" x14ac:dyDescent="0.15">
      <c r="A662" t="s">
        <v>72</v>
      </c>
      <c r="B662" t="s">
        <v>8915</v>
      </c>
      <c r="C662" t="s">
        <v>74</v>
      </c>
      <c r="D662" t="s">
        <v>74</v>
      </c>
      <c r="E662" t="s">
        <v>74</v>
      </c>
      <c r="F662" t="s">
        <v>8916</v>
      </c>
      <c r="G662" t="s">
        <v>74</v>
      </c>
      <c r="H662" t="s">
        <v>74</v>
      </c>
      <c r="I662" t="s">
        <v>8917</v>
      </c>
      <c r="J662" t="s">
        <v>8918</v>
      </c>
      <c r="K662" t="s">
        <v>74</v>
      </c>
      <c r="L662" t="s">
        <v>74</v>
      </c>
      <c r="M662" t="s">
        <v>74</v>
      </c>
      <c r="N662" t="s">
        <v>78</v>
      </c>
      <c r="O662" t="s">
        <v>74</v>
      </c>
      <c r="P662" t="s">
        <v>74</v>
      </c>
      <c r="Q662" t="s">
        <v>74</v>
      </c>
      <c r="R662" t="s">
        <v>74</v>
      </c>
      <c r="S662" t="s">
        <v>74</v>
      </c>
      <c r="T662" t="s">
        <v>74</v>
      </c>
      <c r="U662" t="s">
        <v>8919</v>
      </c>
      <c r="V662" t="s">
        <v>8920</v>
      </c>
      <c r="W662" t="s">
        <v>8921</v>
      </c>
      <c r="X662" t="s">
        <v>8922</v>
      </c>
      <c r="Y662" t="s">
        <v>8923</v>
      </c>
      <c r="Z662" t="s">
        <v>8924</v>
      </c>
      <c r="AA662" t="s">
        <v>74</v>
      </c>
      <c r="AB662" t="s">
        <v>8925</v>
      </c>
      <c r="AC662" t="s">
        <v>74</v>
      </c>
      <c r="AD662" t="s">
        <v>74</v>
      </c>
      <c r="AE662" t="s">
        <v>74</v>
      </c>
      <c r="AF662" t="s">
        <v>74</v>
      </c>
      <c r="AG662">
        <v>24</v>
      </c>
      <c r="AH662">
        <v>1</v>
      </c>
      <c r="AI662">
        <v>1</v>
      </c>
      <c r="AJ662">
        <v>8</v>
      </c>
      <c r="AK662">
        <v>24</v>
      </c>
      <c r="AL662" t="s">
        <v>74</v>
      </c>
      <c r="AM662" t="s">
        <v>74</v>
      </c>
      <c r="AN662" t="s">
        <v>74</v>
      </c>
      <c r="AO662" t="s">
        <v>8926</v>
      </c>
      <c r="AP662" t="s">
        <v>8927</v>
      </c>
      <c r="AQ662" t="s">
        <v>74</v>
      </c>
      <c r="AR662" t="s">
        <v>74</v>
      </c>
      <c r="AS662" t="s">
        <v>74</v>
      </c>
      <c r="AT662" t="s">
        <v>8928</v>
      </c>
      <c r="AU662">
        <v>2021</v>
      </c>
      <c r="AV662">
        <v>13</v>
      </c>
      <c r="AW662">
        <v>35</v>
      </c>
      <c r="AX662" t="s">
        <v>74</v>
      </c>
      <c r="AY662" t="s">
        <v>74</v>
      </c>
      <c r="AZ662" t="s">
        <v>74</v>
      </c>
      <c r="BA662" t="s">
        <v>74</v>
      </c>
      <c r="BB662">
        <v>4001</v>
      </c>
      <c r="BC662">
        <v>4007</v>
      </c>
      <c r="BD662" t="s">
        <v>74</v>
      </c>
      <c r="BE662" t="s">
        <v>8929</v>
      </c>
      <c r="BF662" t="str">
        <f>HYPERLINK("http://dx.doi.org/10.1039/d1ay00854d","http://dx.doi.org/10.1039/d1ay00854d")</f>
        <v>http://dx.doi.org/10.1039/d1ay00854d</v>
      </c>
      <c r="BG662" t="s">
        <v>74</v>
      </c>
      <c r="BH662" t="s">
        <v>661</v>
      </c>
      <c r="BI662" t="s">
        <v>74</v>
      </c>
      <c r="BJ662" t="s">
        <v>8930</v>
      </c>
      <c r="BK662" t="s">
        <v>112</v>
      </c>
      <c r="BL662" t="s">
        <v>8931</v>
      </c>
      <c r="BM662" t="s">
        <v>74</v>
      </c>
      <c r="BN662">
        <v>34528938</v>
      </c>
      <c r="BO662" t="s">
        <v>74</v>
      </c>
      <c r="BP662" t="s">
        <v>74</v>
      </c>
      <c r="BQ662" t="s">
        <v>74</v>
      </c>
      <c r="BR662" t="s">
        <v>93</v>
      </c>
      <c r="BS662" t="s">
        <v>8932</v>
      </c>
      <c r="BT662" t="str">
        <f>HYPERLINK("https%3A%2F%2Fwww.webofscience.com%2Fwos%2Fwoscc%2Ffull-record%2FWOS:000687760700001","View Full Record in Web of Science")</f>
        <v>View Full Record in Web of Science</v>
      </c>
    </row>
    <row r="663" spans="1:72" x14ac:dyDescent="0.15">
      <c r="A663" t="s">
        <v>72</v>
      </c>
      <c r="B663" t="s">
        <v>8950</v>
      </c>
      <c r="C663" t="s">
        <v>74</v>
      </c>
      <c r="D663" t="s">
        <v>74</v>
      </c>
      <c r="E663" t="s">
        <v>74</v>
      </c>
      <c r="F663" t="s">
        <v>8951</v>
      </c>
      <c r="G663" t="s">
        <v>74</v>
      </c>
      <c r="H663" t="s">
        <v>74</v>
      </c>
      <c r="I663" t="s">
        <v>8952</v>
      </c>
      <c r="J663" t="s">
        <v>492</v>
      </c>
      <c r="K663" t="s">
        <v>74</v>
      </c>
      <c r="L663" t="s">
        <v>74</v>
      </c>
      <c r="M663" t="s">
        <v>74</v>
      </c>
      <c r="N663" t="s">
        <v>78</v>
      </c>
      <c r="O663" t="s">
        <v>74</v>
      </c>
      <c r="P663" t="s">
        <v>74</v>
      </c>
      <c r="Q663" t="s">
        <v>74</v>
      </c>
      <c r="R663" t="s">
        <v>74</v>
      </c>
      <c r="S663" t="s">
        <v>74</v>
      </c>
      <c r="T663" t="s">
        <v>74</v>
      </c>
      <c r="U663" t="s">
        <v>8953</v>
      </c>
      <c r="V663" t="s">
        <v>8954</v>
      </c>
      <c r="W663" t="s">
        <v>8955</v>
      </c>
      <c r="X663" t="s">
        <v>8956</v>
      </c>
      <c r="Y663" t="s">
        <v>8957</v>
      </c>
      <c r="Z663" t="s">
        <v>8958</v>
      </c>
      <c r="AA663" t="s">
        <v>74</v>
      </c>
      <c r="AB663" t="s">
        <v>74</v>
      </c>
      <c r="AC663" t="s">
        <v>74</v>
      </c>
      <c r="AD663" t="s">
        <v>74</v>
      </c>
      <c r="AE663" t="s">
        <v>74</v>
      </c>
      <c r="AF663" t="s">
        <v>74</v>
      </c>
      <c r="AG663">
        <v>45</v>
      </c>
      <c r="AH663">
        <v>1</v>
      </c>
      <c r="AI663">
        <v>1</v>
      </c>
      <c r="AJ663">
        <v>3</v>
      </c>
      <c r="AK663">
        <v>3</v>
      </c>
      <c r="AL663" t="s">
        <v>74</v>
      </c>
      <c r="AM663" t="s">
        <v>74</v>
      </c>
      <c r="AN663" t="s">
        <v>74</v>
      </c>
      <c r="AO663" t="s">
        <v>502</v>
      </c>
      <c r="AP663" t="s">
        <v>74</v>
      </c>
      <c r="AQ663" t="s">
        <v>74</v>
      </c>
      <c r="AR663" t="s">
        <v>74</v>
      </c>
      <c r="AS663" t="s">
        <v>74</v>
      </c>
      <c r="AT663" t="s">
        <v>8959</v>
      </c>
      <c r="AU663">
        <v>2022</v>
      </c>
      <c r="AV663">
        <v>27</v>
      </c>
      <c r="AW663" t="s">
        <v>74</v>
      </c>
      <c r="AX663" t="s">
        <v>74</v>
      </c>
      <c r="AY663" t="s">
        <v>74</v>
      </c>
      <c r="AZ663" t="s">
        <v>74</v>
      </c>
      <c r="BA663" t="s">
        <v>74</v>
      </c>
      <c r="BB663">
        <v>375</v>
      </c>
      <c r="BC663">
        <v>389</v>
      </c>
      <c r="BD663" t="s">
        <v>74</v>
      </c>
      <c r="BE663" t="s">
        <v>8960</v>
      </c>
      <c r="BF663" t="str">
        <f>HYPERLINK("http://dx.doi.org/10.1016/j.omtn.2021.12.017","http://dx.doi.org/10.1016/j.omtn.2021.12.017")</f>
        <v>http://dx.doi.org/10.1016/j.omtn.2021.12.017</v>
      </c>
      <c r="BG663" t="s">
        <v>74</v>
      </c>
      <c r="BH663" t="s">
        <v>74</v>
      </c>
      <c r="BI663" t="s">
        <v>74</v>
      </c>
      <c r="BJ663" t="s">
        <v>506</v>
      </c>
      <c r="BK663" t="s">
        <v>112</v>
      </c>
      <c r="BL663" t="s">
        <v>507</v>
      </c>
      <c r="BM663" t="s">
        <v>74</v>
      </c>
      <c r="BN663">
        <v>35036051</v>
      </c>
      <c r="BO663" t="s">
        <v>74</v>
      </c>
      <c r="BP663" t="s">
        <v>74</v>
      </c>
      <c r="BQ663" t="s">
        <v>74</v>
      </c>
      <c r="BR663" t="s">
        <v>93</v>
      </c>
      <c r="BS663" t="s">
        <v>8961</v>
      </c>
      <c r="BT663" t="str">
        <f>HYPERLINK("https%3A%2F%2Fwww.webofscience.com%2Fwos%2Fwoscc%2Ffull-record%2FWOS:000766664100008","View Full Record in Web of Science")</f>
        <v>View Full Record in Web of Science</v>
      </c>
    </row>
    <row r="664" spans="1:72" x14ac:dyDescent="0.15">
      <c r="A664" t="s">
        <v>72</v>
      </c>
      <c r="B664" t="s">
        <v>9010</v>
      </c>
      <c r="C664" t="s">
        <v>74</v>
      </c>
      <c r="D664" t="s">
        <v>74</v>
      </c>
      <c r="E664" t="s">
        <v>74</v>
      </c>
      <c r="F664" t="s">
        <v>9011</v>
      </c>
      <c r="G664" t="s">
        <v>74</v>
      </c>
      <c r="H664" t="s">
        <v>74</v>
      </c>
      <c r="I664" t="s">
        <v>9012</v>
      </c>
      <c r="J664" t="s">
        <v>6553</v>
      </c>
      <c r="K664" t="s">
        <v>74</v>
      </c>
      <c r="L664" t="s">
        <v>74</v>
      </c>
      <c r="M664" t="s">
        <v>74</v>
      </c>
      <c r="N664" t="s">
        <v>78</v>
      </c>
      <c r="O664" t="s">
        <v>74</v>
      </c>
      <c r="P664" t="s">
        <v>74</v>
      </c>
      <c r="Q664" t="s">
        <v>74</v>
      </c>
      <c r="R664" t="s">
        <v>74</v>
      </c>
      <c r="S664" t="s">
        <v>74</v>
      </c>
      <c r="T664" t="s">
        <v>9013</v>
      </c>
      <c r="U664" t="s">
        <v>9014</v>
      </c>
      <c r="V664" t="s">
        <v>9015</v>
      </c>
      <c r="W664" t="s">
        <v>9016</v>
      </c>
      <c r="X664" t="s">
        <v>9017</v>
      </c>
      <c r="Y664" t="s">
        <v>9018</v>
      </c>
      <c r="Z664" t="s">
        <v>9019</v>
      </c>
      <c r="AA664" t="s">
        <v>9020</v>
      </c>
      <c r="AB664" t="s">
        <v>9021</v>
      </c>
      <c r="AC664" t="s">
        <v>74</v>
      </c>
      <c r="AD664" t="s">
        <v>74</v>
      </c>
      <c r="AE664" t="s">
        <v>74</v>
      </c>
      <c r="AF664" t="s">
        <v>74</v>
      </c>
      <c r="AG664">
        <v>46</v>
      </c>
      <c r="AH664">
        <v>1</v>
      </c>
      <c r="AI664">
        <v>1</v>
      </c>
      <c r="AJ664">
        <v>0</v>
      </c>
      <c r="AK664">
        <v>10</v>
      </c>
      <c r="AL664" t="s">
        <v>74</v>
      </c>
      <c r="AM664" t="s">
        <v>74</v>
      </c>
      <c r="AN664" t="s">
        <v>74</v>
      </c>
      <c r="AO664" t="s">
        <v>6563</v>
      </c>
      <c r="AP664" t="s">
        <v>74</v>
      </c>
      <c r="AQ664" t="s">
        <v>74</v>
      </c>
      <c r="AR664" t="s">
        <v>74</v>
      </c>
      <c r="AS664" t="s">
        <v>74</v>
      </c>
      <c r="AT664" t="s">
        <v>9022</v>
      </c>
      <c r="AU664">
        <v>2021</v>
      </c>
      <c r="AV664">
        <v>12</v>
      </c>
      <c r="AW664" t="s">
        <v>74</v>
      </c>
      <c r="AX664" t="s">
        <v>74</v>
      </c>
      <c r="AY664" t="s">
        <v>74</v>
      </c>
      <c r="AZ664" t="s">
        <v>74</v>
      </c>
      <c r="BA664" t="s">
        <v>74</v>
      </c>
      <c r="BB664" t="s">
        <v>74</v>
      </c>
      <c r="BC664" t="s">
        <v>74</v>
      </c>
      <c r="BD664" t="s">
        <v>74</v>
      </c>
      <c r="BE664" t="s">
        <v>9023</v>
      </c>
      <c r="BF664" t="str">
        <f>HYPERLINK("http://dx.doi.org/10.3389/fphys.2021.697139","http://dx.doi.org/10.3389/fphys.2021.697139")</f>
        <v>http://dx.doi.org/10.3389/fphys.2021.697139</v>
      </c>
      <c r="BG664" t="s">
        <v>74</v>
      </c>
      <c r="BH664" t="s">
        <v>74</v>
      </c>
      <c r="BI664" t="s">
        <v>74</v>
      </c>
      <c r="BJ664" t="s">
        <v>6566</v>
      </c>
      <c r="BK664" t="s">
        <v>112</v>
      </c>
      <c r="BL664" t="s">
        <v>6566</v>
      </c>
      <c r="BM664" t="s">
        <v>74</v>
      </c>
      <c r="BN664">
        <v>34489723</v>
      </c>
      <c r="BO664" t="s">
        <v>74</v>
      </c>
      <c r="BP664" t="s">
        <v>74</v>
      </c>
      <c r="BQ664" t="s">
        <v>74</v>
      </c>
      <c r="BR664" t="s">
        <v>93</v>
      </c>
      <c r="BS664" t="s">
        <v>9024</v>
      </c>
      <c r="BT664" t="str">
        <f>HYPERLINK("https%3A%2F%2Fwww.webofscience.com%2Fwos%2Fwoscc%2Ffull-record%2FWOS:000696585700001","View Full Record in Web of Science")</f>
        <v>View Full Record in Web of Science</v>
      </c>
    </row>
    <row r="665" spans="1:72" x14ac:dyDescent="0.15">
      <c r="A665" t="s">
        <v>72</v>
      </c>
      <c r="B665" t="s">
        <v>9081</v>
      </c>
      <c r="C665" t="s">
        <v>74</v>
      </c>
      <c r="D665" t="s">
        <v>74</v>
      </c>
      <c r="E665" t="s">
        <v>74</v>
      </c>
      <c r="F665" t="s">
        <v>9082</v>
      </c>
      <c r="G665" t="s">
        <v>74</v>
      </c>
      <c r="H665" t="s">
        <v>74</v>
      </c>
      <c r="I665" t="s">
        <v>9083</v>
      </c>
      <c r="J665" t="s">
        <v>1704</v>
      </c>
      <c r="K665" t="s">
        <v>74</v>
      </c>
      <c r="L665" t="s">
        <v>74</v>
      </c>
      <c r="M665" t="s">
        <v>74</v>
      </c>
      <c r="N665" t="s">
        <v>78</v>
      </c>
      <c r="O665" t="s">
        <v>74</v>
      </c>
      <c r="P665" t="s">
        <v>74</v>
      </c>
      <c r="Q665" t="s">
        <v>74</v>
      </c>
      <c r="R665" t="s">
        <v>74</v>
      </c>
      <c r="S665" t="s">
        <v>74</v>
      </c>
      <c r="T665" t="s">
        <v>9084</v>
      </c>
      <c r="U665" t="s">
        <v>74</v>
      </c>
      <c r="V665" t="s">
        <v>9085</v>
      </c>
      <c r="W665" t="s">
        <v>9086</v>
      </c>
      <c r="X665" t="s">
        <v>9087</v>
      </c>
      <c r="Y665" t="s">
        <v>9088</v>
      </c>
      <c r="Z665" t="s">
        <v>9089</v>
      </c>
      <c r="AA665" t="s">
        <v>74</v>
      </c>
      <c r="AB665" t="s">
        <v>9090</v>
      </c>
      <c r="AC665" t="s">
        <v>74</v>
      </c>
      <c r="AD665" t="s">
        <v>74</v>
      </c>
      <c r="AE665" t="s">
        <v>74</v>
      </c>
      <c r="AF665" t="s">
        <v>74</v>
      </c>
      <c r="AG665">
        <v>59</v>
      </c>
      <c r="AH665">
        <v>1</v>
      </c>
      <c r="AI665">
        <v>1</v>
      </c>
      <c r="AJ665">
        <v>0</v>
      </c>
      <c r="AK665">
        <v>2</v>
      </c>
      <c r="AL665" t="s">
        <v>74</v>
      </c>
      <c r="AM665" t="s">
        <v>74</v>
      </c>
      <c r="AN665" t="s">
        <v>74</v>
      </c>
      <c r="AO665" t="s">
        <v>74</v>
      </c>
      <c r="AP665" t="s">
        <v>1712</v>
      </c>
      <c r="AQ665" t="s">
        <v>74</v>
      </c>
      <c r="AR665" t="s">
        <v>74</v>
      </c>
      <c r="AS665" t="s">
        <v>74</v>
      </c>
      <c r="AT665" t="s">
        <v>108</v>
      </c>
      <c r="AU665">
        <v>2021</v>
      </c>
      <c r="AV665">
        <v>13</v>
      </c>
      <c r="AW665">
        <v>1</v>
      </c>
      <c r="AX665" t="s">
        <v>74</v>
      </c>
      <c r="AY665" t="s">
        <v>74</v>
      </c>
      <c r="AZ665" t="s">
        <v>74</v>
      </c>
      <c r="BA665" t="s">
        <v>74</v>
      </c>
      <c r="BB665" t="s">
        <v>74</v>
      </c>
      <c r="BC665" t="s">
        <v>74</v>
      </c>
      <c r="BD665">
        <v>80</v>
      </c>
      <c r="BE665" t="s">
        <v>9091</v>
      </c>
      <c r="BF665" t="str">
        <f>HYPERLINK("http://dx.doi.org/10.3390/nu13010080","http://dx.doi.org/10.3390/nu13010080")</f>
        <v>http://dx.doi.org/10.3390/nu13010080</v>
      </c>
      <c r="BG665" t="s">
        <v>74</v>
      </c>
      <c r="BH665" t="s">
        <v>74</v>
      </c>
      <c r="BI665" t="s">
        <v>74</v>
      </c>
      <c r="BJ665" t="s">
        <v>1714</v>
      </c>
      <c r="BK665" t="s">
        <v>112</v>
      </c>
      <c r="BL665" t="s">
        <v>1714</v>
      </c>
      <c r="BM665" t="s">
        <v>74</v>
      </c>
      <c r="BN665">
        <v>33383715</v>
      </c>
      <c r="BO665" t="s">
        <v>74</v>
      </c>
      <c r="BP665" t="s">
        <v>74</v>
      </c>
      <c r="BQ665" t="s">
        <v>74</v>
      </c>
      <c r="BR665" t="s">
        <v>93</v>
      </c>
      <c r="BS665" t="s">
        <v>9092</v>
      </c>
      <c r="BT665" t="str">
        <f>HYPERLINK("https%3A%2F%2Fwww.webofscience.com%2Fwos%2Fwoscc%2Ffull-record%2FWOS:000610648400001","View Full Record in Web of Science")</f>
        <v>View Full Record in Web of Science</v>
      </c>
    </row>
    <row r="666" spans="1:72" x14ac:dyDescent="0.15">
      <c r="A666" t="s">
        <v>72</v>
      </c>
      <c r="B666" t="s">
        <v>9106</v>
      </c>
      <c r="C666" t="s">
        <v>74</v>
      </c>
      <c r="D666" t="s">
        <v>74</v>
      </c>
      <c r="E666" t="s">
        <v>74</v>
      </c>
      <c r="F666" t="s">
        <v>9107</v>
      </c>
      <c r="G666" t="s">
        <v>74</v>
      </c>
      <c r="H666" t="s">
        <v>74</v>
      </c>
      <c r="I666" t="s">
        <v>9108</v>
      </c>
      <c r="J666" t="s">
        <v>9109</v>
      </c>
      <c r="K666" t="s">
        <v>74</v>
      </c>
      <c r="L666" t="s">
        <v>74</v>
      </c>
      <c r="M666" t="s">
        <v>74</v>
      </c>
      <c r="N666" t="s">
        <v>78</v>
      </c>
      <c r="O666" t="s">
        <v>74</v>
      </c>
      <c r="P666" t="s">
        <v>74</v>
      </c>
      <c r="Q666" t="s">
        <v>74</v>
      </c>
      <c r="R666" t="s">
        <v>74</v>
      </c>
      <c r="S666" t="s">
        <v>74</v>
      </c>
      <c r="T666" t="s">
        <v>9110</v>
      </c>
      <c r="U666" t="s">
        <v>9111</v>
      </c>
      <c r="V666" t="s">
        <v>9112</v>
      </c>
      <c r="W666" t="s">
        <v>9113</v>
      </c>
      <c r="X666" t="s">
        <v>9114</v>
      </c>
      <c r="Y666" t="s">
        <v>9115</v>
      </c>
      <c r="Z666" t="s">
        <v>9116</v>
      </c>
      <c r="AA666" t="s">
        <v>9117</v>
      </c>
      <c r="AB666" t="s">
        <v>9118</v>
      </c>
      <c r="AC666" t="s">
        <v>74</v>
      </c>
      <c r="AD666" t="s">
        <v>74</v>
      </c>
      <c r="AE666" t="s">
        <v>74</v>
      </c>
      <c r="AF666" t="s">
        <v>74</v>
      </c>
      <c r="AG666">
        <v>50</v>
      </c>
      <c r="AH666">
        <v>1</v>
      </c>
      <c r="AI666">
        <v>2</v>
      </c>
      <c r="AJ666">
        <v>0</v>
      </c>
      <c r="AK666">
        <v>1</v>
      </c>
      <c r="AL666" t="s">
        <v>74</v>
      </c>
      <c r="AM666" t="s">
        <v>74</v>
      </c>
      <c r="AN666" t="s">
        <v>74</v>
      </c>
      <c r="AO666" t="s">
        <v>74</v>
      </c>
      <c r="AP666" t="s">
        <v>9119</v>
      </c>
      <c r="AQ666" t="s">
        <v>74</v>
      </c>
      <c r="AR666" t="s">
        <v>74</v>
      </c>
      <c r="AS666" t="s">
        <v>74</v>
      </c>
      <c r="AT666" t="s">
        <v>7067</v>
      </c>
      <c r="AU666">
        <v>2020</v>
      </c>
      <c r="AV666">
        <v>21</v>
      </c>
      <c r="AW666">
        <v>1</v>
      </c>
      <c r="AX666" t="s">
        <v>74</v>
      </c>
      <c r="AY666" t="s">
        <v>74</v>
      </c>
      <c r="AZ666" t="s">
        <v>74</v>
      </c>
      <c r="BA666" t="s">
        <v>74</v>
      </c>
      <c r="BB666" t="s">
        <v>74</v>
      </c>
      <c r="BC666" t="s">
        <v>74</v>
      </c>
      <c r="BD666">
        <v>42</v>
      </c>
      <c r="BE666" t="s">
        <v>9120</v>
      </c>
      <c r="BF666" t="str">
        <f>HYPERLINK("http://dx.doi.org/10.1186/s12931-020-1302-9","http://dx.doi.org/10.1186/s12931-020-1302-9")</f>
        <v>http://dx.doi.org/10.1186/s12931-020-1302-9</v>
      </c>
      <c r="BG666" t="s">
        <v>74</v>
      </c>
      <c r="BH666" t="s">
        <v>74</v>
      </c>
      <c r="BI666" t="s">
        <v>74</v>
      </c>
      <c r="BJ666" t="s">
        <v>9121</v>
      </c>
      <c r="BK666" t="s">
        <v>112</v>
      </c>
      <c r="BL666" t="s">
        <v>9121</v>
      </c>
      <c r="BM666" t="s">
        <v>74</v>
      </c>
      <c r="BN666">
        <v>32019550</v>
      </c>
      <c r="BO666" t="s">
        <v>74</v>
      </c>
      <c r="BP666" t="s">
        <v>74</v>
      </c>
      <c r="BQ666" t="s">
        <v>74</v>
      </c>
      <c r="BR666" t="s">
        <v>93</v>
      </c>
      <c r="BS666" t="s">
        <v>9122</v>
      </c>
      <c r="BT666" t="str">
        <f>HYPERLINK("https%3A%2F%2Fwww.webofscience.com%2Fwos%2Fwoscc%2Ffull-record%2FWOS:000513644200001","View Full Record in Web of Science")</f>
        <v>View Full Record in Web of Science</v>
      </c>
    </row>
    <row r="667" spans="1:72" x14ac:dyDescent="0.15">
      <c r="A667" t="s">
        <v>72</v>
      </c>
      <c r="B667" t="s">
        <v>9166</v>
      </c>
      <c r="C667" t="s">
        <v>74</v>
      </c>
      <c r="D667" t="s">
        <v>74</v>
      </c>
      <c r="E667" t="s">
        <v>74</v>
      </c>
      <c r="F667" t="s">
        <v>9167</v>
      </c>
      <c r="G667" t="s">
        <v>74</v>
      </c>
      <c r="H667" t="s">
        <v>74</v>
      </c>
      <c r="I667" t="s">
        <v>9168</v>
      </c>
      <c r="J667" t="s">
        <v>860</v>
      </c>
      <c r="K667" t="s">
        <v>74</v>
      </c>
      <c r="L667" t="s">
        <v>74</v>
      </c>
      <c r="M667" t="s">
        <v>74</v>
      </c>
      <c r="N667" t="s">
        <v>78</v>
      </c>
      <c r="O667" t="s">
        <v>74</v>
      </c>
      <c r="P667" t="s">
        <v>74</v>
      </c>
      <c r="Q667" t="s">
        <v>74</v>
      </c>
      <c r="R667" t="s">
        <v>74</v>
      </c>
      <c r="S667" t="s">
        <v>74</v>
      </c>
      <c r="T667" t="s">
        <v>9169</v>
      </c>
      <c r="U667" t="s">
        <v>9170</v>
      </c>
      <c r="V667" t="s">
        <v>9171</v>
      </c>
      <c r="W667" t="s">
        <v>9172</v>
      </c>
      <c r="X667" t="s">
        <v>9173</v>
      </c>
      <c r="Y667" t="s">
        <v>9174</v>
      </c>
      <c r="Z667" t="s">
        <v>9175</v>
      </c>
      <c r="AA667" t="s">
        <v>74</v>
      </c>
      <c r="AB667" t="s">
        <v>74</v>
      </c>
      <c r="AC667" t="s">
        <v>74</v>
      </c>
      <c r="AD667" t="s">
        <v>74</v>
      </c>
      <c r="AE667" t="s">
        <v>74</v>
      </c>
      <c r="AF667" t="s">
        <v>74</v>
      </c>
      <c r="AG667">
        <v>40</v>
      </c>
      <c r="AH667">
        <v>1</v>
      </c>
      <c r="AI667">
        <v>1</v>
      </c>
      <c r="AJ667">
        <v>2</v>
      </c>
      <c r="AK667">
        <v>5</v>
      </c>
      <c r="AL667" t="s">
        <v>74</v>
      </c>
      <c r="AM667" t="s">
        <v>74</v>
      </c>
      <c r="AN667" t="s">
        <v>74</v>
      </c>
      <c r="AO667" t="s">
        <v>868</v>
      </c>
      <c r="AP667" t="s">
        <v>869</v>
      </c>
      <c r="AQ667" t="s">
        <v>74</v>
      </c>
      <c r="AR667" t="s">
        <v>74</v>
      </c>
      <c r="AS667" t="s">
        <v>74</v>
      </c>
      <c r="AT667" t="s">
        <v>818</v>
      </c>
      <c r="AU667">
        <v>2021</v>
      </c>
      <c r="AV667">
        <v>22</v>
      </c>
      <c r="AW667">
        <v>2</v>
      </c>
      <c r="AX667" t="s">
        <v>74</v>
      </c>
      <c r="AY667" t="s">
        <v>74</v>
      </c>
      <c r="AZ667" t="s">
        <v>74</v>
      </c>
      <c r="BA667" t="s">
        <v>74</v>
      </c>
      <c r="BB667" t="s">
        <v>74</v>
      </c>
      <c r="BC667" t="s">
        <v>74</v>
      </c>
      <c r="BD667">
        <v>607</v>
      </c>
      <c r="BE667" t="s">
        <v>9176</v>
      </c>
      <c r="BF667" t="str">
        <f>HYPERLINK("http://dx.doi.org/10.3892/ol.2021.12868","http://dx.doi.org/10.3892/ol.2021.12868")</f>
        <v>http://dx.doi.org/10.3892/ol.2021.12868</v>
      </c>
      <c r="BG667" t="s">
        <v>74</v>
      </c>
      <c r="BH667" t="s">
        <v>74</v>
      </c>
      <c r="BI667" t="s">
        <v>74</v>
      </c>
      <c r="BJ667" t="s">
        <v>146</v>
      </c>
      <c r="BK667" t="s">
        <v>112</v>
      </c>
      <c r="BL667" t="s">
        <v>146</v>
      </c>
      <c r="BM667" t="s">
        <v>74</v>
      </c>
      <c r="BN667">
        <v>34188709</v>
      </c>
      <c r="BO667" t="s">
        <v>74</v>
      </c>
      <c r="BP667" t="s">
        <v>74</v>
      </c>
      <c r="BQ667" t="s">
        <v>74</v>
      </c>
      <c r="BR667" t="s">
        <v>93</v>
      </c>
      <c r="BS667" t="s">
        <v>9177</v>
      </c>
      <c r="BT667" t="str">
        <f>HYPERLINK("https%3A%2F%2Fwww.webofscience.com%2Fwos%2Fwoscc%2Ffull-record%2FWOS:000667259000001","View Full Record in Web of Science")</f>
        <v>View Full Record in Web of Science</v>
      </c>
    </row>
    <row r="668" spans="1:72" x14ac:dyDescent="0.15">
      <c r="A668" t="s">
        <v>72</v>
      </c>
      <c r="B668" t="s">
        <v>73</v>
      </c>
      <c r="C668" t="s">
        <v>74</v>
      </c>
      <c r="D668" t="s">
        <v>74</v>
      </c>
      <c r="E668" t="s">
        <v>74</v>
      </c>
      <c r="F668" t="s">
        <v>75</v>
      </c>
      <c r="G668" t="s">
        <v>74</v>
      </c>
      <c r="H668" t="s">
        <v>74</v>
      </c>
      <c r="I668" t="s">
        <v>76</v>
      </c>
      <c r="J668" t="s">
        <v>77</v>
      </c>
      <c r="K668" t="s">
        <v>74</v>
      </c>
      <c r="L668" t="s">
        <v>74</v>
      </c>
      <c r="M668" t="s">
        <v>74</v>
      </c>
      <c r="N668" t="s">
        <v>78</v>
      </c>
      <c r="O668" t="s">
        <v>74</v>
      </c>
      <c r="P668" t="s">
        <v>74</v>
      </c>
      <c r="Q668" t="s">
        <v>74</v>
      </c>
      <c r="R668" t="s">
        <v>74</v>
      </c>
      <c r="S668" t="s">
        <v>74</v>
      </c>
      <c r="T668" t="s">
        <v>79</v>
      </c>
      <c r="U668" t="s">
        <v>80</v>
      </c>
      <c r="V668" t="s">
        <v>81</v>
      </c>
      <c r="W668" t="s">
        <v>82</v>
      </c>
      <c r="X668" t="s">
        <v>83</v>
      </c>
      <c r="Y668" t="s">
        <v>84</v>
      </c>
      <c r="Z668" t="s">
        <v>85</v>
      </c>
      <c r="AA668" t="s">
        <v>74</v>
      </c>
      <c r="AB668" t="s">
        <v>86</v>
      </c>
      <c r="AC668" t="s">
        <v>74</v>
      </c>
      <c r="AD668" t="s">
        <v>74</v>
      </c>
      <c r="AE668" t="s">
        <v>74</v>
      </c>
      <c r="AF668" t="s">
        <v>74</v>
      </c>
      <c r="AG668">
        <v>53</v>
      </c>
      <c r="AH668">
        <v>0</v>
      </c>
      <c r="AI668">
        <v>0</v>
      </c>
      <c r="AJ668">
        <v>0</v>
      </c>
      <c r="AK668">
        <v>1</v>
      </c>
      <c r="AL668" t="s">
        <v>74</v>
      </c>
      <c r="AM668" t="s">
        <v>74</v>
      </c>
      <c r="AN668" t="s">
        <v>74</v>
      </c>
      <c r="AO668" t="s">
        <v>74</v>
      </c>
      <c r="AP668" t="s">
        <v>87</v>
      </c>
      <c r="AQ668" t="s">
        <v>74</v>
      </c>
      <c r="AR668" t="s">
        <v>74</v>
      </c>
      <c r="AS668" t="s">
        <v>74</v>
      </c>
      <c r="AT668" t="s">
        <v>88</v>
      </c>
      <c r="AU668">
        <v>2021</v>
      </c>
      <c r="AV668">
        <v>4</v>
      </c>
      <c r="AW668">
        <v>2</v>
      </c>
      <c r="AX668" t="s">
        <v>74</v>
      </c>
      <c r="AY668" t="s">
        <v>74</v>
      </c>
      <c r="AZ668" t="s">
        <v>74</v>
      </c>
      <c r="BA668" t="s">
        <v>74</v>
      </c>
      <c r="BB668" t="s">
        <v>74</v>
      </c>
      <c r="BC668" t="s">
        <v>74</v>
      </c>
      <c r="BD668">
        <v>31</v>
      </c>
      <c r="BE668" t="s">
        <v>89</v>
      </c>
      <c r="BF668" t="str">
        <f>HYPERLINK("http://dx.doi.org/10.3390/mps4020031","http://dx.doi.org/10.3390/mps4020031")</f>
        <v>http://dx.doi.org/10.3390/mps4020031</v>
      </c>
      <c r="BG668" t="s">
        <v>74</v>
      </c>
      <c r="BH668" t="s">
        <v>74</v>
      </c>
      <c r="BI668" t="s">
        <v>74</v>
      </c>
      <c r="BJ668" t="s">
        <v>90</v>
      </c>
      <c r="BK668" t="s">
        <v>91</v>
      </c>
      <c r="BL668" t="s">
        <v>92</v>
      </c>
      <c r="BM668" t="s">
        <v>74</v>
      </c>
      <c r="BN668">
        <v>34065021</v>
      </c>
      <c r="BO668" t="s">
        <v>74</v>
      </c>
      <c r="BP668" t="s">
        <v>74</v>
      </c>
      <c r="BQ668" t="s">
        <v>74</v>
      </c>
      <c r="BR668" t="s">
        <v>93</v>
      </c>
      <c r="BS668" t="s">
        <v>94</v>
      </c>
      <c r="BT668" t="str">
        <f>HYPERLINK("https%3A%2F%2Fwww.webofscience.com%2Fwos%2Fwoscc%2Ffull-record%2FWOS:000668172100001","View Full Record in Web of Science")</f>
        <v>View Full Record in Web of Science</v>
      </c>
    </row>
    <row r="669" spans="1:72" x14ac:dyDescent="0.15">
      <c r="A669" t="s">
        <v>72</v>
      </c>
      <c r="B669" t="s">
        <v>148</v>
      </c>
      <c r="C669" t="s">
        <v>74</v>
      </c>
      <c r="D669" t="s">
        <v>74</v>
      </c>
      <c r="E669" t="s">
        <v>74</v>
      </c>
      <c r="F669" t="s">
        <v>149</v>
      </c>
      <c r="G669" t="s">
        <v>74</v>
      </c>
      <c r="H669" t="s">
        <v>74</v>
      </c>
      <c r="I669" t="s">
        <v>150</v>
      </c>
      <c r="J669" t="s">
        <v>151</v>
      </c>
      <c r="K669" t="s">
        <v>74</v>
      </c>
      <c r="L669" t="s">
        <v>74</v>
      </c>
      <c r="M669" t="s">
        <v>74</v>
      </c>
      <c r="N669" t="s">
        <v>78</v>
      </c>
      <c r="O669" t="s">
        <v>74</v>
      </c>
      <c r="P669" t="s">
        <v>74</v>
      </c>
      <c r="Q669" t="s">
        <v>74</v>
      </c>
      <c r="R669" t="s">
        <v>74</v>
      </c>
      <c r="S669" t="s">
        <v>74</v>
      </c>
      <c r="T669" t="s">
        <v>152</v>
      </c>
      <c r="U669" t="s">
        <v>153</v>
      </c>
      <c r="V669" t="s">
        <v>154</v>
      </c>
      <c r="W669" t="s">
        <v>155</v>
      </c>
      <c r="X669" t="s">
        <v>156</v>
      </c>
      <c r="Y669" t="s">
        <v>157</v>
      </c>
      <c r="Z669" t="s">
        <v>158</v>
      </c>
      <c r="AA669" t="s">
        <v>74</v>
      </c>
      <c r="AB669" t="s">
        <v>159</v>
      </c>
      <c r="AC669" t="s">
        <v>74</v>
      </c>
      <c r="AD669" t="s">
        <v>74</v>
      </c>
      <c r="AE669" t="s">
        <v>74</v>
      </c>
      <c r="AF669" t="s">
        <v>74</v>
      </c>
      <c r="AG669">
        <v>38</v>
      </c>
      <c r="AH669">
        <v>0</v>
      </c>
      <c r="AI669">
        <v>0</v>
      </c>
      <c r="AJ669">
        <v>0</v>
      </c>
      <c r="AK669">
        <v>0</v>
      </c>
      <c r="AL669" t="s">
        <v>74</v>
      </c>
      <c r="AM669" t="s">
        <v>74</v>
      </c>
      <c r="AN669" t="s">
        <v>74</v>
      </c>
      <c r="AO669" t="s">
        <v>74</v>
      </c>
      <c r="AP669" t="s">
        <v>160</v>
      </c>
      <c r="AQ669" t="s">
        <v>74</v>
      </c>
      <c r="AR669" t="s">
        <v>74</v>
      </c>
      <c r="AS669" t="s">
        <v>74</v>
      </c>
      <c r="AT669" t="s">
        <v>88</v>
      </c>
      <c r="AU669">
        <v>2022</v>
      </c>
      <c r="AV669">
        <v>14</v>
      </c>
      <c r="AW669">
        <v>11</v>
      </c>
      <c r="AX669" t="s">
        <v>74</v>
      </c>
      <c r="AY669" t="s">
        <v>74</v>
      </c>
      <c r="AZ669" t="s">
        <v>74</v>
      </c>
      <c r="BA669" t="s">
        <v>74</v>
      </c>
      <c r="BB669" t="s">
        <v>74</v>
      </c>
      <c r="BC669" t="s">
        <v>74</v>
      </c>
      <c r="BD669">
        <v>2744</v>
      </c>
      <c r="BE669" t="s">
        <v>161</v>
      </c>
      <c r="BF669" t="str">
        <f>HYPERLINK("http://dx.doi.org/10.3390/cancers14112744","http://dx.doi.org/10.3390/cancers14112744")</f>
        <v>http://dx.doi.org/10.3390/cancers14112744</v>
      </c>
      <c r="BG669" t="s">
        <v>74</v>
      </c>
      <c r="BH669" t="s">
        <v>74</v>
      </c>
      <c r="BI669" t="s">
        <v>74</v>
      </c>
      <c r="BJ669" t="s">
        <v>146</v>
      </c>
      <c r="BK669" t="s">
        <v>112</v>
      </c>
      <c r="BL669" t="s">
        <v>146</v>
      </c>
      <c r="BM669" t="s">
        <v>74</v>
      </c>
      <c r="BN669">
        <v>35681723</v>
      </c>
      <c r="BO669" t="s">
        <v>74</v>
      </c>
      <c r="BP669" t="s">
        <v>74</v>
      </c>
      <c r="BQ669" t="s">
        <v>74</v>
      </c>
      <c r="BR669" t="s">
        <v>93</v>
      </c>
      <c r="BS669" t="s">
        <v>162</v>
      </c>
      <c r="BT669" t="str">
        <f>HYPERLINK("https%3A%2F%2Fwww.webofscience.com%2Fwos%2Fwoscc%2Ffull-record%2FWOS:000808941200001","View Full Record in Web of Science")</f>
        <v>View Full Record in Web of Science</v>
      </c>
    </row>
    <row r="670" spans="1:72" x14ac:dyDescent="0.15">
      <c r="A670" t="s">
        <v>72</v>
      </c>
      <c r="B670" t="s">
        <v>369</v>
      </c>
      <c r="C670" t="s">
        <v>74</v>
      </c>
      <c r="D670" t="s">
        <v>74</v>
      </c>
      <c r="E670" t="s">
        <v>74</v>
      </c>
      <c r="F670" t="s">
        <v>370</v>
      </c>
      <c r="G670" t="s">
        <v>74</v>
      </c>
      <c r="H670" t="s">
        <v>74</v>
      </c>
      <c r="I670" t="s">
        <v>371</v>
      </c>
      <c r="J670" t="s">
        <v>372</v>
      </c>
      <c r="K670" t="s">
        <v>74</v>
      </c>
      <c r="L670" t="s">
        <v>74</v>
      </c>
      <c r="M670" t="s">
        <v>74</v>
      </c>
      <c r="N670" t="s">
        <v>78</v>
      </c>
      <c r="O670" t="s">
        <v>74</v>
      </c>
      <c r="P670" t="s">
        <v>74</v>
      </c>
      <c r="Q670" t="s">
        <v>74</v>
      </c>
      <c r="R670" t="s">
        <v>74</v>
      </c>
      <c r="S670" t="s">
        <v>74</v>
      </c>
      <c r="T670" t="s">
        <v>373</v>
      </c>
      <c r="U670" t="s">
        <v>374</v>
      </c>
      <c r="V670" t="s">
        <v>375</v>
      </c>
      <c r="W670" t="s">
        <v>376</v>
      </c>
      <c r="X670" t="s">
        <v>377</v>
      </c>
      <c r="Y670" t="s">
        <v>378</v>
      </c>
      <c r="Z670" t="s">
        <v>379</v>
      </c>
      <c r="AA670" t="s">
        <v>74</v>
      </c>
      <c r="AB670" t="s">
        <v>74</v>
      </c>
      <c r="AC670" t="s">
        <v>74</v>
      </c>
      <c r="AD670" t="s">
        <v>74</v>
      </c>
      <c r="AE670" t="s">
        <v>74</v>
      </c>
      <c r="AF670" t="s">
        <v>74</v>
      </c>
      <c r="AG670">
        <v>26</v>
      </c>
      <c r="AH670">
        <v>0</v>
      </c>
      <c r="AI670">
        <v>0</v>
      </c>
      <c r="AJ670">
        <v>0</v>
      </c>
      <c r="AK670">
        <v>2</v>
      </c>
      <c r="AL670" t="s">
        <v>74</v>
      </c>
      <c r="AM670" t="s">
        <v>74</v>
      </c>
      <c r="AN670" t="s">
        <v>74</v>
      </c>
      <c r="AO670" t="s">
        <v>380</v>
      </c>
      <c r="AP670" t="s">
        <v>381</v>
      </c>
      <c r="AQ670" t="s">
        <v>74</v>
      </c>
      <c r="AR670" t="s">
        <v>74</v>
      </c>
      <c r="AS670" t="s">
        <v>74</v>
      </c>
      <c r="AT670" t="s">
        <v>382</v>
      </c>
      <c r="AU670">
        <v>2021</v>
      </c>
      <c r="AV670">
        <v>29</v>
      </c>
      <c r="AW670">
        <v>10</v>
      </c>
      <c r="AX670" t="s">
        <v>74</v>
      </c>
      <c r="AY670" t="s">
        <v>74</v>
      </c>
      <c r="AZ670" t="s">
        <v>74</v>
      </c>
      <c r="BA670" t="s">
        <v>74</v>
      </c>
      <c r="BB670">
        <v>720</v>
      </c>
      <c r="BC670">
        <v>727</v>
      </c>
      <c r="BD670" t="s">
        <v>74</v>
      </c>
      <c r="BE670" t="s">
        <v>74</v>
      </c>
      <c r="BF670" t="s">
        <v>74</v>
      </c>
      <c r="BG670" t="s">
        <v>74</v>
      </c>
      <c r="BH670" t="s">
        <v>74</v>
      </c>
      <c r="BI670" t="s">
        <v>74</v>
      </c>
      <c r="BJ670" t="s">
        <v>383</v>
      </c>
      <c r="BK670" t="s">
        <v>112</v>
      </c>
      <c r="BL670" t="s">
        <v>383</v>
      </c>
      <c r="BM670" t="s">
        <v>74</v>
      </c>
      <c r="BN670">
        <v>34433181</v>
      </c>
      <c r="BO670" t="s">
        <v>74</v>
      </c>
      <c r="BP670" t="s">
        <v>74</v>
      </c>
      <c r="BQ670" t="s">
        <v>74</v>
      </c>
      <c r="BR670" t="s">
        <v>93</v>
      </c>
      <c r="BS670" t="s">
        <v>384</v>
      </c>
      <c r="BT670" t="str">
        <f>HYPERLINK("https%3A%2F%2Fwww.webofscience.com%2Fwos%2Fwoscc%2Ffull-record%2FWOS:000756930100003","View Full Record in Web of Science")</f>
        <v>View Full Record in Web of Science</v>
      </c>
    </row>
    <row r="671" spans="1:72" x14ac:dyDescent="0.15">
      <c r="A671" t="s">
        <v>72</v>
      </c>
      <c r="B671" t="s">
        <v>805</v>
      </c>
      <c r="C671" t="s">
        <v>74</v>
      </c>
      <c r="D671" t="s">
        <v>74</v>
      </c>
      <c r="E671" t="s">
        <v>74</v>
      </c>
      <c r="F671" t="s">
        <v>806</v>
      </c>
      <c r="G671" t="s">
        <v>74</v>
      </c>
      <c r="H671" t="s">
        <v>74</v>
      </c>
      <c r="I671" t="s">
        <v>807</v>
      </c>
      <c r="J671" t="s">
        <v>808</v>
      </c>
      <c r="K671" t="s">
        <v>74</v>
      </c>
      <c r="L671" t="s">
        <v>74</v>
      </c>
      <c r="M671" t="s">
        <v>74</v>
      </c>
      <c r="N671" t="s">
        <v>78</v>
      </c>
      <c r="O671" t="s">
        <v>74</v>
      </c>
      <c r="P671" t="s">
        <v>74</v>
      </c>
      <c r="Q671" t="s">
        <v>74</v>
      </c>
      <c r="R671" t="s">
        <v>74</v>
      </c>
      <c r="S671" t="s">
        <v>74</v>
      </c>
      <c r="T671" t="s">
        <v>809</v>
      </c>
      <c r="U671" t="s">
        <v>810</v>
      </c>
      <c r="V671" t="s">
        <v>811</v>
      </c>
      <c r="W671" t="s">
        <v>812</v>
      </c>
      <c r="X671" t="s">
        <v>813</v>
      </c>
      <c r="Y671" t="s">
        <v>814</v>
      </c>
      <c r="Z671" t="s">
        <v>815</v>
      </c>
      <c r="AA671" t="s">
        <v>74</v>
      </c>
      <c r="AB671" t="s">
        <v>74</v>
      </c>
      <c r="AC671" t="s">
        <v>74</v>
      </c>
      <c r="AD671" t="s">
        <v>74</v>
      </c>
      <c r="AE671" t="s">
        <v>74</v>
      </c>
      <c r="AF671" t="s">
        <v>74</v>
      </c>
      <c r="AG671">
        <v>47</v>
      </c>
      <c r="AH671">
        <v>0</v>
      </c>
      <c r="AI671">
        <v>0</v>
      </c>
      <c r="AJ671">
        <v>2</v>
      </c>
      <c r="AK671">
        <v>7</v>
      </c>
      <c r="AL671" t="s">
        <v>74</v>
      </c>
      <c r="AM671" t="s">
        <v>74</v>
      </c>
      <c r="AN671" t="s">
        <v>74</v>
      </c>
      <c r="AO671" t="s">
        <v>816</v>
      </c>
      <c r="AP671" t="s">
        <v>817</v>
      </c>
      <c r="AQ671" t="s">
        <v>74</v>
      </c>
      <c r="AR671" t="s">
        <v>74</v>
      </c>
      <c r="AS671" t="s">
        <v>74</v>
      </c>
      <c r="AT671" t="s">
        <v>818</v>
      </c>
      <c r="AU671">
        <v>2022</v>
      </c>
      <c r="AV671">
        <v>158</v>
      </c>
      <c r="AW671">
        <v>2</v>
      </c>
      <c r="AX671" t="s">
        <v>74</v>
      </c>
      <c r="AY671" t="s">
        <v>74</v>
      </c>
      <c r="AZ671" t="s">
        <v>74</v>
      </c>
      <c r="BA671" t="s">
        <v>74</v>
      </c>
      <c r="BB671">
        <v>406</v>
      </c>
      <c r="BC671">
        <v>417</v>
      </c>
      <c r="BD671" t="s">
        <v>74</v>
      </c>
      <c r="BE671" t="s">
        <v>819</v>
      </c>
      <c r="BF671" t="str">
        <f>HYPERLINK("http://dx.doi.org/10.1002/ijgo.13976","http://dx.doi.org/10.1002/ijgo.13976")</f>
        <v>http://dx.doi.org/10.1002/ijgo.13976</v>
      </c>
      <c r="BG671" t="s">
        <v>74</v>
      </c>
      <c r="BH671" t="s">
        <v>820</v>
      </c>
      <c r="BI671" t="s">
        <v>74</v>
      </c>
      <c r="BJ671" t="s">
        <v>821</v>
      </c>
      <c r="BK671" t="s">
        <v>112</v>
      </c>
      <c r="BL671" t="s">
        <v>821</v>
      </c>
      <c r="BM671" t="s">
        <v>74</v>
      </c>
      <c r="BN671">
        <v>34626484</v>
      </c>
      <c r="BO671" t="s">
        <v>74</v>
      </c>
      <c r="BP671" t="s">
        <v>74</v>
      </c>
      <c r="BQ671" t="s">
        <v>74</v>
      </c>
      <c r="BR671" t="s">
        <v>93</v>
      </c>
      <c r="BS671" t="s">
        <v>822</v>
      </c>
      <c r="BT671" t="str">
        <f>HYPERLINK("https%3A%2F%2Fwww.webofscience.com%2Fwos%2Fwoscc%2Ffull-record%2FWOS:000714974700001","View Full Record in Web of Science")</f>
        <v>View Full Record in Web of Science</v>
      </c>
    </row>
    <row r="672" spans="1:72" x14ac:dyDescent="0.15">
      <c r="A672" t="s">
        <v>72</v>
      </c>
      <c r="B672" t="s">
        <v>872</v>
      </c>
      <c r="C672" t="s">
        <v>74</v>
      </c>
      <c r="D672" t="s">
        <v>74</v>
      </c>
      <c r="E672" t="s">
        <v>74</v>
      </c>
      <c r="F672" t="s">
        <v>873</v>
      </c>
      <c r="G672" t="s">
        <v>74</v>
      </c>
      <c r="H672" t="s">
        <v>74</v>
      </c>
      <c r="I672" t="s">
        <v>874</v>
      </c>
      <c r="J672" t="s">
        <v>875</v>
      </c>
      <c r="K672" t="s">
        <v>74</v>
      </c>
      <c r="L672" t="s">
        <v>74</v>
      </c>
      <c r="M672" t="s">
        <v>74</v>
      </c>
      <c r="N672" t="s">
        <v>78</v>
      </c>
      <c r="O672" t="s">
        <v>74</v>
      </c>
      <c r="P672" t="s">
        <v>74</v>
      </c>
      <c r="Q672" t="s">
        <v>74</v>
      </c>
      <c r="R672" t="s">
        <v>74</v>
      </c>
      <c r="S672" t="s">
        <v>74</v>
      </c>
      <c r="T672" t="s">
        <v>876</v>
      </c>
      <c r="U672" t="s">
        <v>877</v>
      </c>
      <c r="V672" t="s">
        <v>878</v>
      </c>
      <c r="W672" t="s">
        <v>879</v>
      </c>
      <c r="X672" t="s">
        <v>880</v>
      </c>
      <c r="Y672" t="s">
        <v>881</v>
      </c>
      <c r="Z672" t="s">
        <v>882</v>
      </c>
      <c r="AA672" t="s">
        <v>883</v>
      </c>
      <c r="AB672" t="s">
        <v>884</v>
      </c>
      <c r="AC672" t="s">
        <v>74</v>
      </c>
      <c r="AD672" t="s">
        <v>74</v>
      </c>
      <c r="AE672" t="s">
        <v>74</v>
      </c>
      <c r="AF672" t="s">
        <v>74</v>
      </c>
      <c r="AG672">
        <v>96</v>
      </c>
      <c r="AH672">
        <v>0</v>
      </c>
      <c r="AI672">
        <v>0</v>
      </c>
      <c r="AJ672">
        <v>1</v>
      </c>
      <c r="AK672">
        <v>2</v>
      </c>
      <c r="AL672" t="s">
        <v>74</v>
      </c>
      <c r="AM672" t="s">
        <v>74</v>
      </c>
      <c r="AN672" t="s">
        <v>74</v>
      </c>
      <c r="AO672" t="s">
        <v>885</v>
      </c>
      <c r="AP672" t="s">
        <v>886</v>
      </c>
      <c r="AQ672" t="s">
        <v>74</v>
      </c>
      <c r="AR672" t="s">
        <v>74</v>
      </c>
      <c r="AS672" t="s">
        <v>74</v>
      </c>
      <c r="AT672" t="s">
        <v>818</v>
      </c>
      <c r="AU672">
        <v>2020</v>
      </c>
      <c r="AV672">
        <v>141</v>
      </c>
      <c r="AW672" t="s">
        <v>74</v>
      </c>
      <c r="AX672" t="s">
        <v>74</v>
      </c>
      <c r="AY672" t="s">
        <v>74</v>
      </c>
      <c r="AZ672" t="s">
        <v>74</v>
      </c>
      <c r="BA672" t="s">
        <v>74</v>
      </c>
      <c r="BB672" t="s">
        <v>74</v>
      </c>
      <c r="BC672" t="s">
        <v>74</v>
      </c>
      <c r="BD672">
        <v>109721</v>
      </c>
      <c r="BE672" t="s">
        <v>887</v>
      </c>
      <c r="BF672" t="str">
        <f>HYPERLINK("http://dx.doi.org/10.1016/j.mehy.2020.109721","http://dx.doi.org/10.1016/j.mehy.2020.109721")</f>
        <v>http://dx.doi.org/10.1016/j.mehy.2020.109721</v>
      </c>
      <c r="BG672" t="s">
        <v>74</v>
      </c>
      <c r="BH672" t="s">
        <v>74</v>
      </c>
      <c r="BI672" t="s">
        <v>74</v>
      </c>
      <c r="BJ672" t="s">
        <v>506</v>
      </c>
      <c r="BK672" t="s">
        <v>112</v>
      </c>
      <c r="BL672" t="s">
        <v>507</v>
      </c>
      <c r="BM672" t="s">
        <v>74</v>
      </c>
      <c r="BN672">
        <v>32289644</v>
      </c>
      <c r="BO672" t="s">
        <v>74</v>
      </c>
      <c r="BP672" t="s">
        <v>74</v>
      </c>
      <c r="BQ672" t="s">
        <v>74</v>
      </c>
      <c r="BR672" t="s">
        <v>93</v>
      </c>
      <c r="BS672" t="s">
        <v>888</v>
      </c>
      <c r="BT672" t="str">
        <f>HYPERLINK("https%3A%2F%2Fwww.webofscience.com%2Fwos%2Fwoscc%2Ffull-record%2FWOS:000542189700006","View Full Record in Web of Science")</f>
        <v>View Full Record in Web of Science</v>
      </c>
    </row>
    <row r="673" spans="1:72" x14ac:dyDescent="0.15">
      <c r="A673" t="s">
        <v>72</v>
      </c>
      <c r="B673" t="s">
        <v>1181</v>
      </c>
      <c r="C673" t="s">
        <v>74</v>
      </c>
      <c r="D673" t="s">
        <v>74</v>
      </c>
      <c r="E673" t="s">
        <v>74</v>
      </c>
      <c r="F673" t="s">
        <v>1182</v>
      </c>
      <c r="G673" t="s">
        <v>74</v>
      </c>
      <c r="H673" t="s">
        <v>74</v>
      </c>
      <c r="I673" t="s">
        <v>1183</v>
      </c>
      <c r="J673" t="s">
        <v>1184</v>
      </c>
      <c r="K673" t="s">
        <v>74</v>
      </c>
      <c r="L673" t="s">
        <v>74</v>
      </c>
      <c r="M673" t="s">
        <v>74</v>
      </c>
      <c r="N673" t="s">
        <v>78</v>
      </c>
      <c r="O673" t="s">
        <v>74</v>
      </c>
      <c r="P673" t="s">
        <v>74</v>
      </c>
      <c r="Q673" t="s">
        <v>74</v>
      </c>
      <c r="R673" t="s">
        <v>74</v>
      </c>
      <c r="S673" t="s">
        <v>74</v>
      </c>
      <c r="T673" t="s">
        <v>1185</v>
      </c>
      <c r="U673" t="s">
        <v>1186</v>
      </c>
      <c r="V673" t="s">
        <v>1187</v>
      </c>
      <c r="W673" t="s">
        <v>1188</v>
      </c>
      <c r="X673" t="s">
        <v>1189</v>
      </c>
      <c r="Y673" t="s">
        <v>1190</v>
      </c>
      <c r="Z673" t="s">
        <v>1191</v>
      </c>
      <c r="AA673" t="s">
        <v>74</v>
      </c>
      <c r="AB673" t="s">
        <v>1192</v>
      </c>
      <c r="AC673" t="s">
        <v>74</v>
      </c>
      <c r="AD673" t="s">
        <v>74</v>
      </c>
      <c r="AE673" t="s">
        <v>74</v>
      </c>
      <c r="AF673" t="s">
        <v>74</v>
      </c>
      <c r="AG673">
        <v>54</v>
      </c>
      <c r="AH673">
        <v>0</v>
      </c>
      <c r="AI673">
        <v>0</v>
      </c>
      <c r="AJ673">
        <v>14</v>
      </c>
      <c r="AK673">
        <v>14</v>
      </c>
      <c r="AL673" t="s">
        <v>74</v>
      </c>
      <c r="AM673" t="s">
        <v>74</v>
      </c>
      <c r="AN673" t="s">
        <v>74</v>
      </c>
      <c r="AO673" t="s">
        <v>1193</v>
      </c>
      <c r="AP673" t="s">
        <v>1194</v>
      </c>
      <c r="AQ673" t="s">
        <v>74</v>
      </c>
      <c r="AR673" t="s">
        <v>74</v>
      </c>
      <c r="AS673" t="s">
        <v>74</v>
      </c>
      <c r="AT673" t="s">
        <v>364</v>
      </c>
      <c r="AU673">
        <v>2022</v>
      </c>
      <c r="AV673">
        <v>247</v>
      </c>
      <c r="AW673" t="s">
        <v>74</v>
      </c>
      <c r="AX673" t="s">
        <v>74</v>
      </c>
      <c r="AY673" t="s">
        <v>74</v>
      </c>
      <c r="AZ673" t="s">
        <v>74</v>
      </c>
      <c r="BA673" t="s">
        <v>74</v>
      </c>
      <c r="BB673" t="s">
        <v>74</v>
      </c>
      <c r="BC673" t="s">
        <v>74</v>
      </c>
      <c r="BD673">
        <v>123620</v>
      </c>
      <c r="BE673" t="s">
        <v>1195</v>
      </c>
      <c r="BF673" t="str">
        <f>HYPERLINK("http://dx.doi.org/10.1016/j.talanta.2022.123620","http://dx.doi.org/10.1016/j.talanta.2022.123620")</f>
        <v>http://dx.doi.org/10.1016/j.talanta.2022.123620</v>
      </c>
      <c r="BG673" t="s">
        <v>74</v>
      </c>
      <c r="BH673" t="s">
        <v>74</v>
      </c>
      <c r="BI673" t="s">
        <v>74</v>
      </c>
      <c r="BJ673" t="s">
        <v>1196</v>
      </c>
      <c r="BK673" t="s">
        <v>112</v>
      </c>
      <c r="BL673" t="s">
        <v>1197</v>
      </c>
      <c r="BM673" t="s">
        <v>74</v>
      </c>
      <c r="BN673">
        <v>35649328</v>
      </c>
      <c r="BO673" t="s">
        <v>74</v>
      </c>
      <c r="BP673" t="s">
        <v>74</v>
      </c>
      <c r="BQ673" t="s">
        <v>74</v>
      </c>
      <c r="BR673" t="s">
        <v>93</v>
      </c>
      <c r="BS673" t="s">
        <v>1198</v>
      </c>
      <c r="BT673" t="str">
        <f>HYPERLINK("https%3A%2F%2Fwww.webofscience.com%2Fwos%2Fwoscc%2Ffull-record%2FWOS:000808517500004","View Full Record in Web of Science")</f>
        <v>View Full Record in Web of Science</v>
      </c>
    </row>
    <row r="674" spans="1:72" x14ac:dyDescent="0.15">
      <c r="A674" t="s">
        <v>72</v>
      </c>
      <c r="B674" t="s">
        <v>1374</v>
      </c>
      <c r="C674" t="s">
        <v>74</v>
      </c>
      <c r="D674" t="s">
        <v>74</v>
      </c>
      <c r="E674" t="s">
        <v>74</v>
      </c>
      <c r="F674" t="s">
        <v>1375</v>
      </c>
      <c r="G674" t="s">
        <v>74</v>
      </c>
      <c r="H674" t="s">
        <v>74</v>
      </c>
      <c r="I674" t="s">
        <v>1376</v>
      </c>
      <c r="J674" t="s">
        <v>1377</v>
      </c>
      <c r="K674" t="s">
        <v>74</v>
      </c>
      <c r="L674" t="s">
        <v>74</v>
      </c>
      <c r="M674" t="s">
        <v>74</v>
      </c>
      <c r="N674" t="s">
        <v>78</v>
      </c>
      <c r="O674" t="s">
        <v>74</v>
      </c>
      <c r="P674" t="s">
        <v>74</v>
      </c>
      <c r="Q674" t="s">
        <v>74</v>
      </c>
      <c r="R674" t="s">
        <v>74</v>
      </c>
      <c r="S674" t="s">
        <v>74</v>
      </c>
      <c r="T674" t="s">
        <v>1378</v>
      </c>
      <c r="U674" t="s">
        <v>1379</v>
      </c>
      <c r="V674" t="s">
        <v>1380</v>
      </c>
      <c r="W674" t="s">
        <v>1381</v>
      </c>
      <c r="X674" t="s">
        <v>1382</v>
      </c>
      <c r="Y674" t="s">
        <v>1383</v>
      </c>
      <c r="Z674" t="s">
        <v>1384</v>
      </c>
      <c r="AA674" t="s">
        <v>74</v>
      </c>
      <c r="AB674" t="s">
        <v>74</v>
      </c>
      <c r="AC674" t="s">
        <v>74</v>
      </c>
      <c r="AD674" t="s">
        <v>74</v>
      </c>
      <c r="AE674" t="s">
        <v>74</v>
      </c>
      <c r="AF674" t="s">
        <v>74</v>
      </c>
      <c r="AG674">
        <v>32</v>
      </c>
      <c r="AH674">
        <v>0</v>
      </c>
      <c r="AI674">
        <v>0</v>
      </c>
      <c r="AJ674">
        <v>2</v>
      </c>
      <c r="AK674">
        <v>2</v>
      </c>
      <c r="AL674" t="s">
        <v>74</v>
      </c>
      <c r="AM674" t="s">
        <v>74</v>
      </c>
      <c r="AN674" t="s">
        <v>74</v>
      </c>
      <c r="AO674" t="s">
        <v>1385</v>
      </c>
      <c r="AP674" t="s">
        <v>74</v>
      </c>
      <c r="AQ674" t="s">
        <v>74</v>
      </c>
      <c r="AR674" t="s">
        <v>74</v>
      </c>
      <c r="AS674" t="s">
        <v>74</v>
      </c>
      <c r="AT674" t="s">
        <v>74</v>
      </c>
      <c r="AU674">
        <v>2021</v>
      </c>
      <c r="AV674">
        <v>14</v>
      </c>
      <c r="AW674" t="s">
        <v>74</v>
      </c>
      <c r="AX674" t="s">
        <v>74</v>
      </c>
      <c r="AY674" t="s">
        <v>74</v>
      </c>
      <c r="AZ674" t="s">
        <v>74</v>
      </c>
      <c r="BA674" t="s">
        <v>74</v>
      </c>
      <c r="BB674">
        <v>1033</v>
      </c>
      <c r="BC674">
        <v>1043</v>
      </c>
      <c r="BD674" t="s">
        <v>74</v>
      </c>
      <c r="BE674" t="s">
        <v>1386</v>
      </c>
      <c r="BF674" t="str">
        <f>HYPERLINK("http://dx.doi.org/10.2147/CCID.S325515","http://dx.doi.org/10.2147/CCID.S325515")</f>
        <v>http://dx.doi.org/10.2147/CCID.S325515</v>
      </c>
      <c r="BG674" t="s">
        <v>74</v>
      </c>
      <c r="BH674" t="s">
        <v>74</v>
      </c>
      <c r="BI674" t="s">
        <v>74</v>
      </c>
      <c r="BJ674" t="s">
        <v>1387</v>
      </c>
      <c r="BK674" t="s">
        <v>112</v>
      </c>
      <c r="BL674" t="s">
        <v>1387</v>
      </c>
      <c r="BM674" t="s">
        <v>74</v>
      </c>
      <c r="BN674">
        <v>34471367</v>
      </c>
      <c r="BO674" t="s">
        <v>74</v>
      </c>
      <c r="BP674" t="s">
        <v>74</v>
      </c>
      <c r="BQ674" t="s">
        <v>74</v>
      </c>
      <c r="BR674" t="s">
        <v>93</v>
      </c>
      <c r="BS674" t="s">
        <v>1388</v>
      </c>
      <c r="BT674" t="str">
        <f>HYPERLINK("https%3A%2F%2Fwww.webofscience.com%2Fwos%2Fwoscc%2Ffull-record%2FWOS:000688407700004","View Full Record in Web of Science")</f>
        <v>View Full Record in Web of Science</v>
      </c>
    </row>
    <row r="675" spans="1:72" x14ac:dyDescent="0.15">
      <c r="A675" t="s">
        <v>72</v>
      </c>
      <c r="B675" t="s">
        <v>1410</v>
      </c>
      <c r="C675" t="s">
        <v>74</v>
      </c>
      <c r="D675" t="s">
        <v>74</v>
      </c>
      <c r="E675" t="s">
        <v>74</v>
      </c>
      <c r="F675" t="s">
        <v>1411</v>
      </c>
      <c r="G675" t="s">
        <v>74</v>
      </c>
      <c r="H675" t="s">
        <v>74</v>
      </c>
      <c r="I675" t="s">
        <v>1412</v>
      </c>
      <c r="J675" t="s">
        <v>1413</v>
      </c>
      <c r="K675" t="s">
        <v>74</v>
      </c>
      <c r="L675" t="s">
        <v>74</v>
      </c>
      <c r="M675" t="s">
        <v>74</v>
      </c>
      <c r="N675" t="s">
        <v>78</v>
      </c>
      <c r="O675" t="s">
        <v>74</v>
      </c>
      <c r="P675" t="s">
        <v>74</v>
      </c>
      <c r="Q675" t="s">
        <v>74</v>
      </c>
      <c r="R675" t="s">
        <v>74</v>
      </c>
      <c r="S675" t="s">
        <v>74</v>
      </c>
      <c r="T675" t="s">
        <v>1414</v>
      </c>
      <c r="U675" t="s">
        <v>1415</v>
      </c>
      <c r="V675" t="s">
        <v>1416</v>
      </c>
      <c r="W675" t="s">
        <v>1417</v>
      </c>
      <c r="X675" t="s">
        <v>1418</v>
      </c>
      <c r="Y675" t="s">
        <v>1419</v>
      </c>
      <c r="Z675" t="s">
        <v>1420</v>
      </c>
      <c r="AA675" t="s">
        <v>74</v>
      </c>
      <c r="AB675" t="s">
        <v>74</v>
      </c>
      <c r="AC675" t="s">
        <v>74</v>
      </c>
      <c r="AD675" t="s">
        <v>74</v>
      </c>
      <c r="AE675" t="s">
        <v>74</v>
      </c>
      <c r="AF675" t="s">
        <v>74</v>
      </c>
      <c r="AG675">
        <v>33</v>
      </c>
      <c r="AH675">
        <v>0</v>
      </c>
      <c r="AI675">
        <v>0</v>
      </c>
      <c r="AJ675">
        <v>7</v>
      </c>
      <c r="AK675">
        <v>7</v>
      </c>
      <c r="AL675" t="s">
        <v>74</v>
      </c>
      <c r="AM675" t="s">
        <v>74</v>
      </c>
      <c r="AN675" t="s">
        <v>74</v>
      </c>
      <c r="AO675" t="s">
        <v>1421</v>
      </c>
      <c r="AP675" t="s">
        <v>1422</v>
      </c>
      <c r="AQ675" t="s">
        <v>74</v>
      </c>
      <c r="AR675" t="s">
        <v>74</v>
      </c>
      <c r="AS675" t="s">
        <v>74</v>
      </c>
      <c r="AT675" t="s">
        <v>1111</v>
      </c>
      <c r="AU675">
        <v>2022</v>
      </c>
      <c r="AV675">
        <v>345</v>
      </c>
      <c r="AW675" t="s">
        <v>74</v>
      </c>
      <c r="AX675" t="s">
        <v>74</v>
      </c>
      <c r="AY675" t="s">
        <v>74</v>
      </c>
      <c r="AZ675" t="s">
        <v>74</v>
      </c>
      <c r="BA675" t="s">
        <v>74</v>
      </c>
      <c r="BB675">
        <v>433</v>
      </c>
      <c r="BC675">
        <v>442</v>
      </c>
      <c r="BD675" t="s">
        <v>74</v>
      </c>
      <c r="BE675" t="s">
        <v>1423</v>
      </c>
      <c r="BF675" t="str">
        <f>HYPERLINK("http://dx.doi.org/10.1016/j.jconrel.2022.03.016","http://dx.doi.org/10.1016/j.jconrel.2022.03.016")</f>
        <v>http://dx.doi.org/10.1016/j.jconrel.2022.03.016</v>
      </c>
      <c r="BG675" t="s">
        <v>74</v>
      </c>
      <c r="BH675" t="s">
        <v>74</v>
      </c>
      <c r="BI675" t="s">
        <v>74</v>
      </c>
      <c r="BJ675" t="s">
        <v>1424</v>
      </c>
      <c r="BK675" t="s">
        <v>112</v>
      </c>
      <c r="BL675" t="s">
        <v>1425</v>
      </c>
      <c r="BM675" t="s">
        <v>74</v>
      </c>
      <c r="BN675">
        <v>35301052</v>
      </c>
      <c r="BO675" t="s">
        <v>74</v>
      </c>
      <c r="BP675" t="s">
        <v>74</v>
      </c>
      <c r="BQ675" t="s">
        <v>74</v>
      </c>
      <c r="BR675" t="s">
        <v>93</v>
      </c>
      <c r="BS675" t="s">
        <v>1426</v>
      </c>
      <c r="BT675" t="str">
        <f>HYPERLINK("https%3A%2F%2Fwww.webofscience.com%2Fwos%2Fwoscc%2Ffull-record%2FWOS:000793719500001","View Full Record in Web of Science")</f>
        <v>View Full Record in Web of Science</v>
      </c>
    </row>
    <row r="676" spans="1:72" x14ac:dyDescent="0.15">
      <c r="A676" t="s">
        <v>72</v>
      </c>
      <c r="B676" t="s">
        <v>1510</v>
      </c>
      <c r="C676" t="s">
        <v>74</v>
      </c>
      <c r="D676" t="s">
        <v>74</v>
      </c>
      <c r="E676" t="s">
        <v>74</v>
      </c>
      <c r="F676" t="s">
        <v>1511</v>
      </c>
      <c r="G676" t="s">
        <v>74</v>
      </c>
      <c r="H676" t="s">
        <v>74</v>
      </c>
      <c r="I676" t="s">
        <v>1512</v>
      </c>
      <c r="J676" t="s">
        <v>151</v>
      </c>
      <c r="K676" t="s">
        <v>74</v>
      </c>
      <c r="L676" t="s">
        <v>74</v>
      </c>
      <c r="M676" t="s">
        <v>74</v>
      </c>
      <c r="N676" t="s">
        <v>78</v>
      </c>
      <c r="O676" t="s">
        <v>74</v>
      </c>
      <c r="P676" t="s">
        <v>74</v>
      </c>
      <c r="Q676" t="s">
        <v>74</v>
      </c>
      <c r="R676" t="s">
        <v>74</v>
      </c>
      <c r="S676" t="s">
        <v>74</v>
      </c>
      <c r="T676" t="s">
        <v>1513</v>
      </c>
      <c r="U676" t="s">
        <v>1514</v>
      </c>
      <c r="V676" t="s">
        <v>1515</v>
      </c>
      <c r="W676" t="s">
        <v>1516</v>
      </c>
      <c r="X676" t="s">
        <v>1517</v>
      </c>
      <c r="Y676" t="s">
        <v>1518</v>
      </c>
      <c r="Z676" t="s">
        <v>1519</v>
      </c>
      <c r="AA676" t="s">
        <v>1520</v>
      </c>
      <c r="AB676" t="s">
        <v>1521</v>
      </c>
      <c r="AC676" t="s">
        <v>74</v>
      </c>
      <c r="AD676" t="s">
        <v>74</v>
      </c>
      <c r="AE676" t="s">
        <v>74</v>
      </c>
      <c r="AF676" t="s">
        <v>74</v>
      </c>
      <c r="AG676">
        <v>49</v>
      </c>
      <c r="AH676">
        <v>0</v>
      </c>
      <c r="AI676">
        <v>0</v>
      </c>
      <c r="AJ676">
        <v>2</v>
      </c>
      <c r="AK676">
        <v>3</v>
      </c>
      <c r="AL676" t="s">
        <v>74</v>
      </c>
      <c r="AM676" t="s">
        <v>74</v>
      </c>
      <c r="AN676" t="s">
        <v>74</v>
      </c>
      <c r="AO676" t="s">
        <v>74</v>
      </c>
      <c r="AP676" t="s">
        <v>160</v>
      </c>
      <c r="AQ676" t="s">
        <v>74</v>
      </c>
      <c r="AR676" t="s">
        <v>74</v>
      </c>
      <c r="AS676" t="s">
        <v>74</v>
      </c>
      <c r="AT676" t="s">
        <v>437</v>
      </c>
      <c r="AU676">
        <v>2021</v>
      </c>
      <c r="AV676">
        <v>13</v>
      </c>
      <c r="AW676">
        <v>19</v>
      </c>
      <c r="AX676" t="s">
        <v>74</v>
      </c>
      <c r="AY676" t="s">
        <v>74</v>
      </c>
      <c r="AZ676" t="s">
        <v>74</v>
      </c>
      <c r="BA676" t="s">
        <v>74</v>
      </c>
      <c r="BB676" t="s">
        <v>74</v>
      </c>
      <c r="BC676" t="s">
        <v>74</v>
      </c>
      <c r="BD676">
        <v>4968</v>
      </c>
      <c r="BE676" t="s">
        <v>1522</v>
      </c>
      <c r="BF676" t="str">
        <f>HYPERLINK("http://dx.doi.org/10.3390/cancers13194968","http://dx.doi.org/10.3390/cancers13194968")</f>
        <v>http://dx.doi.org/10.3390/cancers13194968</v>
      </c>
      <c r="BG676" t="s">
        <v>74</v>
      </c>
      <c r="BH676" t="s">
        <v>74</v>
      </c>
      <c r="BI676" t="s">
        <v>74</v>
      </c>
      <c r="BJ676" t="s">
        <v>146</v>
      </c>
      <c r="BK676" t="s">
        <v>112</v>
      </c>
      <c r="BL676" t="s">
        <v>146</v>
      </c>
      <c r="BM676" t="s">
        <v>74</v>
      </c>
      <c r="BN676">
        <v>34638452</v>
      </c>
      <c r="BO676" t="s">
        <v>74</v>
      </c>
      <c r="BP676" t="s">
        <v>74</v>
      </c>
      <c r="BQ676" t="s">
        <v>74</v>
      </c>
      <c r="BR676" t="s">
        <v>93</v>
      </c>
      <c r="BS676" t="s">
        <v>1523</v>
      </c>
      <c r="BT676" t="str">
        <f>HYPERLINK("https%3A%2F%2Fwww.webofscience.com%2Fwos%2Fwoscc%2Ffull-record%2FWOS:000709624800001","View Full Record in Web of Science")</f>
        <v>View Full Record in Web of Science</v>
      </c>
    </row>
    <row r="677" spans="1:72" x14ac:dyDescent="0.15">
      <c r="A677" t="s">
        <v>72</v>
      </c>
      <c r="B677" t="s">
        <v>1796</v>
      </c>
      <c r="C677" t="s">
        <v>74</v>
      </c>
      <c r="D677" t="s">
        <v>74</v>
      </c>
      <c r="E677" t="s">
        <v>74</v>
      </c>
      <c r="F677" t="s">
        <v>1797</v>
      </c>
      <c r="G677" t="s">
        <v>74</v>
      </c>
      <c r="H677" t="s">
        <v>74</v>
      </c>
      <c r="I677" t="s">
        <v>1798</v>
      </c>
      <c r="J677" t="s">
        <v>1799</v>
      </c>
      <c r="K677" t="s">
        <v>74</v>
      </c>
      <c r="L677" t="s">
        <v>74</v>
      </c>
      <c r="M677" t="s">
        <v>74</v>
      </c>
      <c r="N677" t="s">
        <v>78</v>
      </c>
      <c r="O677" t="s">
        <v>74</v>
      </c>
      <c r="P677" t="s">
        <v>74</v>
      </c>
      <c r="Q677" t="s">
        <v>74</v>
      </c>
      <c r="R677" t="s">
        <v>74</v>
      </c>
      <c r="S677" t="s">
        <v>74</v>
      </c>
      <c r="T677" t="s">
        <v>1800</v>
      </c>
      <c r="U677" t="s">
        <v>1801</v>
      </c>
      <c r="V677" t="s">
        <v>1802</v>
      </c>
      <c r="W677" t="s">
        <v>1803</v>
      </c>
      <c r="X677" t="s">
        <v>1804</v>
      </c>
      <c r="Y677" t="s">
        <v>1805</v>
      </c>
      <c r="Z677" t="s">
        <v>1806</v>
      </c>
      <c r="AA677" t="s">
        <v>74</v>
      </c>
      <c r="AB677" t="s">
        <v>74</v>
      </c>
      <c r="AC677" t="s">
        <v>74</v>
      </c>
      <c r="AD677" t="s">
        <v>74</v>
      </c>
      <c r="AE677" t="s">
        <v>74</v>
      </c>
      <c r="AF677" t="s">
        <v>74</v>
      </c>
      <c r="AG677">
        <v>23</v>
      </c>
      <c r="AH677">
        <v>0</v>
      </c>
      <c r="AI677">
        <v>0</v>
      </c>
      <c r="AJ677">
        <v>4</v>
      </c>
      <c r="AK677">
        <v>4</v>
      </c>
      <c r="AL677" t="s">
        <v>74</v>
      </c>
      <c r="AM677" t="s">
        <v>74</v>
      </c>
      <c r="AN677" t="s">
        <v>74</v>
      </c>
      <c r="AO677" t="s">
        <v>1807</v>
      </c>
      <c r="AP677" t="s">
        <v>74</v>
      </c>
      <c r="AQ677" t="s">
        <v>74</v>
      </c>
      <c r="AR677" t="s">
        <v>74</v>
      </c>
      <c r="AS677" t="s">
        <v>74</v>
      </c>
      <c r="AT677" t="s">
        <v>1808</v>
      </c>
      <c r="AU677">
        <v>2022</v>
      </c>
      <c r="AV677">
        <v>13</v>
      </c>
      <c r="AW677" t="s">
        <v>74</v>
      </c>
      <c r="AX677" t="s">
        <v>74</v>
      </c>
      <c r="AY677" t="s">
        <v>74</v>
      </c>
      <c r="AZ677" t="s">
        <v>74</v>
      </c>
      <c r="BA677" t="s">
        <v>74</v>
      </c>
      <c r="BB677" t="s">
        <v>74</v>
      </c>
      <c r="BC677" t="s">
        <v>74</v>
      </c>
      <c r="BD677">
        <v>834409</v>
      </c>
      <c r="BE677" t="s">
        <v>1809</v>
      </c>
      <c r="BF677" t="str">
        <f>HYPERLINK("http://dx.doi.org/10.3389/fendo.2022.834409","http://dx.doi.org/10.3389/fendo.2022.834409")</f>
        <v>http://dx.doi.org/10.3389/fendo.2022.834409</v>
      </c>
      <c r="BG677" t="s">
        <v>74</v>
      </c>
      <c r="BH677" t="s">
        <v>74</v>
      </c>
      <c r="BI677" t="s">
        <v>74</v>
      </c>
      <c r="BJ677" t="s">
        <v>1810</v>
      </c>
      <c r="BK677" t="s">
        <v>112</v>
      </c>
      <c r="BL677" t="s">
        <v>1810</v>
      </c>
      <c r="BM677" t="s">
        <v>74</v>
      </c>
      <c r="BN677">
        <v>35444613</v>
      </c>
      <c r="BO677" t="s">
        <v>74</v>
      </c>
      <c r="BP677" t="s">
        <v>74</v>
      </c>
      <c r="BQ677" t="s">
        <v>74</v>
      </c>
      <c r="BR677" t="s">
        <v>93</v>
      </c>
      <c r="BS677" t="s">
        <v>1811</v>
      </c>
      <c r="BT677" t="str">
        <f>HYPERLINK("https%3A%2F%2Fwww.webofscience.com%2Fwos%2Fwoscc%2Ffull-record%2FWOS:000788688300001","View Full Record in Web of Science")</f>
        <v>View Full Record in Web of Science</v>
      </c>
    </row>
    <row r="678" spans="1:72" x14ac:dyDescent="0.15">
      <c r="A678" t="s">
        <v>72</v>
      </c>
      <c r="B678" t="s">
        <v>1964</v>
      </c>
      <c r="C678" t="s">
        <v>74</v>
      </c>
      <c r="D678" t="s">
        <v>74</v>
      </c>
      <c r="E678" t="s">
        <v>74</v>
      </c>
      <c r="F678" t="s">
        <v>1965</v>
      </c>
      <c r="G678" t="s">
        <v>74</v>
      </c>
      <c r="H678" t="s">
        <v>74</v>
      </c>
      <c r="I678" t="s">
        <v>1966</v>
      </c>
      <c r="J678" t="s">
        <v>667</v>
      </c>
      <c r="K678" t="s">
        <v>74</v>
      </c>
      <c r="L678" t="s">
        <v>74</v>
      </c>
      <c r="M678" t="s">
        <v>74</v>
      </c>
      <c r="N678" t="s">
        <v>78</v>
      </c>
      <c r="O678" t="s">
        <v>74</v>
      </c>
      <c r="P678" t="s">
        <v>74</v>
      </c>
      <c r="Q678" t="s">
        <v>74</v>
      </c>
      <c r="R678" t="s">
        <v>74</v>
      </c>
      <c r="S678" t="s">
        <v>74</v>
      </c>
      <c r="T678" t="s">
        <v>1967</v>
      </c>
      <c r="U678" t="s">
        <v>1968</v>
      </c>
      <c r="V678" t="s">
        <v>1969</v>
      </c>
      <c r="W678" t="s">
        <v>1970</v>
      </c>
      <c r="X678" t="s">
        <v>1971</v>
      </c>
      <c r="Y678" t="s">
        <v>1972</v>
      </c>
      <c r="Z678" t="s">
        <v>1973</v>
      </c>
      <c r="AA678" t="s">
        <v>74</v>
      </c>
      <c r="AB678" t="s">
        <v>1974</v>
      </c>
      <c r="AC678" t="s">
        <v>74</v>
      </c>
      <c r="AD678" t="s">
        <v>74</v>
      </c>
      <c r="AE678" t="s">
        <v>74</v>
      </c>
      <c r="AF678" t="s">
        <v>74</v>
      </c>
      <c r="AG678">
        <v>39</v>
      </c>
      <c r="AH678">
        <v>0</v>
      </c>
      <c r="AI678">
        <v>0</v>
      </c>
      <c r="AJ678">
        <v>0</v>
      </c>
      <c r="AK678">
        <v>0</v>
      </c>
      <c r="AL678" t="s">
        <v>74</v>
      </c>
      <c r="AM678" t="s">
        <v>74</v>
      </c>
      <c r="AN678" t="s">
        <v>74</v>
      </c>
      <c r="AO678" t="s">
        <v>74</v>
      </c>
      <c r="AP678" t="s">
        <v>677</v>
      </c>
      <c r="AQ678" t="s">
        <v>74</v>
      </c>
      <c r="AR678" t="s">
        <v>74</v>
      </c>
      <c r="AS678" t="s">
        <v>74</v>
      </c>
      <c r="AT678" t="s">
        <v>129</v>
      </c>
      <c r="AU678">
        <v>2022</v>
      </c>
      <c r="AV678">
        <v>23</v>
      </c>
      <c r="AW678">
        <v>7</v>
      </c>
      <c r="AX678" t="s">
        <v>74</v>
      </c>
      <c r="AY678" t="s">
        <v>74</v>
      </c>
      <c r="AZ678" t="s">
        <v>74</v>
      </c>
      <c r="BA678" t="s">
        <v>74</v>
      </c>
      <c r="BB678" t="s">
        <v>74</v>
      </c>
      <c r="BC678" t="s">
        <v>74</v>
      </c>
      <c r="BD678">
        <v>3461</v>
      </c>
      <c r="BE678" t="s">
        <v>1975</v>
      </c>
      <c r="BF678" t="str">
        <f>HYPERLINK("http://dx.doi.org/10.3390/ijms23073461","http://dx.doi.org/10.3390/ijms23073461")</f>
        <v>http://dx.doi.org/10.3390/ijms23073461</v>
      </c>
      <c r="BG678" t="s">
        <v>74</v>
      </c>
      <c r="BH678" t="s">
        <v>74</v>
      </c>
      <c r="BI678" t="s">
        <v>74</v>
      </c>
      <c r="BJ678" t="s">
        <v>680</v>
      </c>
      <c r="BK678" t="s">
        <v>112</v>
      </c>
      <c r="BL678" t="s">
        <v>681</v>
      </c>
      <c r="BM678" t="s">
        <v>74</v>
      </c>
      <c r="BN678">
        <v>35408821</v>
      </c>
      <c r="BO678" t="s">
        <v>74</v>
      </c>
      <c r="BP678" t="s">
        <v>74</v>
      </c>
      <c r="BQ678" t="s">
        <v>74</v>
      </c>
      <c r="BR678" t="s">
        <v>93</v>
      </c>
      <c r="BS678" t="s">
        <v>1976</v>
      </c>
      <c r="BT678" t="str">
        <f>HYPERLINK("https%3A%2F%2Fwww.webofscience.com%2Fwos%2Fwoscc%2Ffull-record%2FWOS:000781916000001","View Full Record in Web of Science")</f>
        <v>View Full Record in Web of Science</v>
      </c>
    </row>
    <row r="679" spans="1:72" x14ac:dyDescent="0.15">
      <c r="A679" t="s">
        <v>72</v>
      </c>
      <c r="B679" t="s">
        <v>2389</v>
      </c>
      <c r="C679" t="s">
        <v>74</v>
      </c>
      <c r="D679" t="s">
        <v>74</v>
      </c>
      <c r="E679" t="s">
        <v>74</v>
      </c>
      <c r="F679" t="s">
        <v>2390</v>
      </c>
      <c r="G679" t="s">
        <v>74</v>
      </c>
      <c r="H679" t="s">
        <v>74</v>
      </c>
      <c r="I679" t="s">
        <v>2391</v>
      </c>
      <c r="J679" t="s">
        <v>2392</v>
      </c>
      <c r="K679" t="s">
        <v>74</v>
      </c>
      <c r="L679" t="s">
        <v>74</v>
      </c>
      <c r="M679" t="s">
        <v>74</v>
      </c>
      <c r="N679" t="s">
        <v>78</v>
      </c>
      <c r="O679" t="s">
        <v>74</v>
      </c>
      <c r="P679" t="s">
        <v>74</v>
      </c>
      <c r="Q679" t="s">
        <v>74</v>
      </c>
      <c r="R679" t="s">
        <v>74</v>
      </c>
      <c r="S679" t="s">
        <v>74</v>
      </c>
      <c r="T679" t="s">
        <v>2393</v>
      </c>
      <c r="U679" t="s">
        <v>2394</v>
      </c>
      <c r="V679" t="s">
        <v>2395</v>
      </c>
      <c r="W679" t="s">
        <v>2396</v>
      </c>
      <c r="X679" t="s">
        <v>2397</v>
      </c>
      <c r="Y679" t="s">
        <v>2398</v>
      </c>
      <c r="Z679" t="s">
        <v>2399</v>
      </c>
      <c r="AA679" t="s">
        <v>2400</v>
      </c>
      <c r="AB679" t="s">
        <v>2401</v>
      </c>
      <c r="AC679" t="s">
        <v>74</v>
      </c>
      <c r="AD679" t="s">
        <v>74</v>
      </c>
      <c r="AE679" t="s">
        <v>74</v>
      </c>
      <c r="AF679" t="s">
        <v>74</v>
      </c>
      <c r="AG679">
        <v>80</v>
      </c>
      <c r="AH679">
        <v>0</v>
      </c>
      <c r="AI679">
        <v>0</v>
      </c>
      <c r="AJ679">
        <v>0</v>
      </c>
      <c r="AK679">
        <v>0</v>
      </c>
      <c r="AL679" t="s">
        <v>74</v>
      </c>
      <c r="AM679" t="s">
        <v>74</v>
      </c>
      <c r="AN679" t="s">
        <v>74</v>
      </c>
      <c r="AO679" t="s">
        <v>2402</v>
      </c>
      <c r="AP679" t="s">
        <v>2403</v>
      </c>
      <c r="AQ679" t="s">
        <v>74</v>
      </c>
      <c r="AR679" t="s">
        <v>74</v>
      </c>
      <c r="AS679" t="s">
        <v>74</v>
      </c>
      <c r="AT679" t="s">
        <v>640</v>
      </c>
      <c r="AU679">
        <v>2020</v>
      </c>
      <c r="AV679">
        <v>43</v>
      </c>
      <c r="AW679">
        <v>2</v>
      </c>
      <c r="AX679" t="s">
        <v>74</v>
      </c>
      <c r="AY679" t="s">
        <v>74</v>
      </c>
      <c r="AZ679" t="s">
        <v>74</v>
      </c>
      <c r="BA679" t="s">
        <v>74</v>
      </c>
      <c r="BB679" t="s">
        <v>74</v>
      </c>
      <c r="BC679" t="s">
        <v>74</v>
      </c>
      <c r="BD679" t="s">
        <v>2404</v>
      </c>
      <c r="BE679" t="s">
        <v>2405</v>
      </c>
      <c r="BF679" t="str">
        <f>HYPERLINK("http://dx.doi.org/10.1093/sleep/zsz217","http://dx.doi.org/10.1093/sleep/zsz217")</f>
        <v>http://dx.doi.org/10.1093/sleep/zsz217</v>
      </c>
      <c r="BG679" t="s">
        <v>74</v>
      </c>
      <c r="BH679" t="s">
        <v>74</v>
      </c>
      <c r="BI679" t="s">
        <v>74</v>
      </c>
      <c r="BJ679" t="s">
        <v>2406</v>
      </c>
      <c r="BK679" t="s">
        <v>112</v>
      </c>
      <c r="BL679" t="s">
        <v>2407</v>
      </c>
      <c r="BM679" t="s">
        <v>74</v>
      </c>
      <c r="BN679" t="s">
        <v>74</v>
      </c>
      <c r="BO679" t="s">
        <v>74</v>
      </c>
      <c r="BP679" t="s">
        <v>74</v>
      </c>
      <c r="BQ679" t="s">
        <v>74</v>
      </c>
      <c r="BR679" t="s">
        <v>93</v>
      </c>
      <c r="BS679" t="s">
        <v>2408</v>
      </c>
      <c r="BT679" t="str">
        <f>HYPERLINK("https%3A%2F%2Fwww.webofscience.com%2Fwos%2Fwoscc%2Ffull-record%2FWOS:000548323400007","View Full Record in Web of Science")</f>
        <v>View Full Record in Web of Science</v>
      </c>
    </row>
    <row r="680" spans="1:72" x14ac:dyDescent="0.15">
      <c r="A680" t="s">
        <v>72</v>
      </c>
      <c r="B680" t="s">
        <v>2389</v>
      </c>
      <c r="C680" t="s">
        <v>74</v>
      </c>
      <c r="D680" t="s">
        <v>74</v>
      </c>
      <c r="E680" t="s">
        <v>74</v>
      </c>
      <c r="F680" t="s">
        <v>2409</v>
      </c>
      <c r="G680" t="s">
        <v>74</v>
      </c>
      <c r="H680" t="s">
        <v>74</v>
      </c>
      <c r="I680" t="s">
        <v>2391</v>
      </c>
      <c r="J680" t="s">
        <v>2392</v>
      </c>
      <c r="K680" t="s">
        <v>74</v>
      </c>
      <c r="L680" t="s">
        <v>74</v>
      </c>
      <c r="M680" t="s">
        <v>74</v>
      </c>
      <c r="N680" t="s">
        <v>78</v>
      </c>
      <c r="O680" t="s">
        <v>74</v>
      </c>
      <c r="P680" t="s">
        <v>74</v>
      </c>
      <c r="Q680" t="s">
        <v>74</v>
      </c>
      <c r="R680" t="s">
        <v>74</v>
      </c>
      <c r="S680" t="s">
        <v>74</v>
      </c>
      <c r="T680" t="s">
        <v>2393</v>
      </c>
      <c r="U680" t="s">
        <v>2394</v>
      </c>
      <c r="V680" t="s">
        <v>2395</v>
      </c>
      <c r="W680" t="s">
        <v>2410</v>
      </c>
      <c r="X680" t="s">
        <v>2411</v>
      </c>
      <c r="Y680" t="s">
        <v>2398</v>
      </c>
      <c r="Z680" t="s">
        <v>2399</v>
      </c>
      <c r="AA680" t="s">
        <v>74</v>
      </c>
      <c r="AB680" t="s">
        <v>74</v>
      </c>
      <c r="AC680" t="s">
        <v>74</v>
      </c>
      <c r="AD680" t="s">
        <v>74</v>
      </c>
      <c r="AE680" t="s">
        <v>74</v>
      </c>
      <c r="AF680" t="s">
        <v>74</v>
      </c>
      <c r="AG680">
        <v>80</v>
      </c>
      <c r="AH680">
        <v>0</v>
      </c>
      <c r="AI680">
        <v>0</v>
      </c>
      <c r="AJ680">
        <v>0</v>
      </c>
      <c r="AK680">
        <v>0</v>
      </c>
      <c r="AL680" t="s">
        <v>74</v>
      </c>
      <c r="AM680" t="s">
        <v>74</v>
      </c>
      <c r="AN680" t="s">
        <v>74</v>
      </c>
      <c r="AO680" t="s">
        <v>2402</v>
      </c>
      <c r="AP680" t="s">
        <v>2403</v>
      </c>
      <c r="AQ680" t="s">
        <v>74</v>
      </c>
      <c r="AR680" t="s">
        <v>74</v>
      </c>
      <c r="AS680" t="s">
        <v>74</v>
      </c>
      <c r="AT680" t="s">
        <v>2412</v>
      </c>
      <c r="AU680">
        <v>2020</v>
      </c>
      <c r="AV680">
        <v>43</v>
      </c>
      <c r="AW680">
        <v>2</v>
      </c>
      <c r="AX680" t="s">
        <v>74</v>
      </c>
      <c r="AY680" t="s">
        <v>74</v>
      </c>
      <c r="AZ680" t="s">
        <v>74</v>
      </c>
      <c r="BA680" t="s">
        <v>74</v>
      </c>
      <c r="BB680" t="s">
        <v>74</v>
      </c>
      <c r="BC680" t="s">
        <v>74</v>
      </c>
      <c r="BD680" t="s">
        <v>2404</v>
      </c>
      <c r="BE680" t="s">
        <v>2405</v>
      </c>
      <c r="BF680" t="str">
        <f>HYPERLINK("http://dx.doi.org/10.1093/sleep/zsz217","http://dx.doi.org/10.1093/sleep/zsz217")</f>
        <v>http://dx.doi.org/10.1093/sleep/zsz217</v>
      </c>
      <c r="BG680" t="s">
        <v>74</v>
      </c>
      <c r="BH680" t="s">
        <v>74</v>
      </c>
      <c r="BI680" t="s">
        <v>74</v>
      </c>
      <c r="BJ680" t="s">
        <v>2406</v>
      </c>
      <c r="BK680" t="s">
        <v>112</v>
      </c>
      <c r="BL680" t="s">
        <v>2407</v>
      </c>
      <c r="BM680" t="s">
        <v>74</v>
      </c>
      <c r="BN680" t="s">
        <v>74</v>
      </c>
      <c r="BO680" t="s">
        <v>74</v>
      </c>
      <c r="BP680" t="s">
        <v>74</v>
      </c>
      <c r="BQ680" t="s">
        <v>74</v>
      </c>
      <c r="BR680" t="s">
        <v>93</v>
      </c>
      <c r="BS680" t="s">
        <v>2413</v>
      </c>
      <c r="BT680" t="str">
        <f>HYPERLINK("https%3A%2F%2Fwww.webofscience.com%2Fwos%2Fwoscc%2Ffull-record%2FWOS:000753590500010","View Full Record in Web of Science")</f>
        <v>View Full Record in Web of Science</v>
      </c>
    </row>
    <row r="681" spans="1:72" x14ac:dyDescent="0.15">
      <c r="A681" t="s">
        <v>72</v>
      </c>
      <c r="B681" t="s">
        <v>2414</v>
      </c>
      <c r="C681" t="s">
        <v>74</v>
      </c>
      <c r="D681" t="s">
        <v>74</v>
      </c>
      <c r="E681" t="s">
        <v>74</v>
      </c>
      <c r="F681" t="s">
        <v>2415</v>
      </c>
      <c r="G681" t="s">
        <v>74</v>
      </c>
      <c r="H681" t="s">
        <v>74</v>
      </c>
      <c r="I681" t="s">
        <v>2416</v>
      </c>
      <c r="J681" t="s">
        <v>2417</v>
      </c>
      <c r="K681" t="s">
        <v>74</v>
      </c>
      <c r="L681" t="s">
        <v>74</v>
      </c>
      <c r="M681" t="s">
        <v>74</v>
      </c>
      <c r="N681" t="s">
        <v>78</v>
      </c>
      <c r="O681" t="s">
        <v>74</v>
      </c>
      <c r="P681" t="s">
        <v>74</v>
      </c>
      <c r="Q681" t="s">
        <v>74</v>
      </c>
      <c r="R681" t="s">
        <v>74</v>
      </c>
      <c r="S681" t="s">
        <v>74</v>
      </c>
      <c r="T681" t="s">
        <v>2418</v>
      </c>
      <c r="U681" t="s">
        <v>2419</v>
      </c>
      <c r="V681" t="s">
        <v>2420</v>
      </c>
      <c r="W681" t="s">
        <v>2421</v>
      </c>
      <c r="X681" t="s">
        <v>2422</v>
      </c>
      <c r="Y681" t="s">
        <v>2423</v>
      </c>
      <c r="Z681" t="s">
        <v>2424</v>
      </c>
      <c r="AA681" t="s">
        <v>2425</v>
      </c>
      <c r="AB681" t="s">
        <v>2426</v>
      </c>
      <c r="AC681" t="s">
        <v>74</v>
      </c>
      <c r="AD681" t="s">
        <v>74</v>
      </c>
      <c r="AE681" t="s">
        <v>74</v>
      </c>
      <c r="AF681" t="s">
        <v>74</v>
      </c>
      <c r="AG681">
        <v>24</v>
      </c>
      <c r="AH681">
        <v>0</v>
      </c>
      <c r="AI681">
        <v>0</v>
      </c>
      <c r="AJ681">
        <v>1</v>
      </c>
      <c r="AK681">
        <v>1</v>
      </c>
      <c r="AL681" t="s">
        <v>74</v>
      </c>
      <c r="AM681" t="s">
        <v>74</v>
      </c>
      <c r="AN681" t="s">
        <v>74</v>
      </c>
      <c r="AO681" t="s">
        <v>2427</v>
      </c>
      <c r="AP681" t="s">
        <v>2428</v>
      </c>
      <c r="AQ681" t="s">
        <v>74</v>
      </c>
      <c r="AR681" t="s">
        <v>74</v>
      </c>
      <c r="AS681" t="s">
        <v>74</v>
      </c>
      <c r="AT681" t="s">
        <v>74</v>
      </c>
      <c r="AU681">
        <v>2021</v>
      </c>
      <c r="AV681">
        <v>17</v>
      </c>
      <c r="AW681">
        <v>4</v>
      </c>
      <c r="AX681" t="s">
        <v>74</v>
      </c>
      <c r="AY681" t="s">
        <v>74</v>
      </c>
      <c r="AZ681" t="s">
        <v>74</v>
      </c>
      <c r="BA681" t="s">
        <v>74</v>
      </c>
      <c r="BB681">
        <v>65</v>
      </c>
      <c r="BC681">
        <v>75</v>
      </c>
      <c r="BD681" t="s">
        <v>74</v>
      </c>
      <c r="BE681" t="s">
        <v>2429</v>
      </c>
      <c r="BF681" t="str">
        <f>HYPERLINK("http://dx.doi.org/10.17650/1726-9776-2021-17-4-65-75","http://dx.doi.org/10.17650/1726-9776-2021-17-4-65-75")</f>
        <v>http://dx.doi.org/10.17650/1726-9776-2021-17-4-65-75</v>
      </c>
      <c r="BG681" t="s">
        <v>74</v>
      </c>
      <c r="BH681" t="s">
        <v>74</v>
      </c>
      <c r="BI681" t="s">
        <v>74</v>
      </c>
      <c r="BJ681" t="s">
        <v>146</v>
      </c>
      <c r="BK681" t="s">
        <v>91</v>
      </c>
      <c r="BL681" t="s">
        <v>146</v>
      </c>
      <c r="BM681" t="s">
        <v>74</v>
      </c>
      <c r="BN681" t="s">
        <v>74</v>
      </c>
      <c r="BO681" t="s">
        <v>74</v>
      </c>
      <c r="BP681" t="s">
        <v>74</v>
      </c>
      <c r="BQ681" t="s">
        <v>74</v>
      </c>
      <c r="BR681" t="s">
        <v>93</v>
      </c>
      <c r="BS681" t="s">
        <v>2430</v>
      </c>
      <c r="BT681" t="str">
        <f>HYPERLINK("https%3A%2F%2Fwww.webofscience.com%2Fwos%2Fwoscc%2Ffull-record%2FWOS:000754411800006","View Full Record in Web of Science")</f>
        <v>View Full Record in Web of Science</v>
      </c>
    </row>
    <row r="682" spans="1:72" x14ac:dyDescent="0.15">
      <c r="A682" t="s">
        <v>72</v>
      </c>
      <c r="B682" t="s">
        <v>2512</v>
      </c>
      <c r="C682" t="s">
        <v>74</v>
      </c>
      <c r="D682" t="s">
        <v>74</v>
      </c>
      <c r="E682" t="s">
        <v>74</v>
      </c>
      <c r="F682" t="s">
        <v>2513</v>
      </c>
      <c r="G682" t="s">
        <v>74</v>
      </c>
      <c r="H682" t="s">
        <v>74</v>
      </c>
      <c r="I682" t="s">
        <v>2514</v>
      </c>
      <c r="J682" t="s">
        <v>2013</v>
      </c>
      <c r="K682" t="s">
        <v>74</v>
      </c>
      <c r="L682" t="s">
        <v>74</v>
      </c>
      <c r="M682" t="s">
        <v>74</v>
      </c>
      <c r="N682" t="s">
        <v>2515</v>
      </c>
      <c r="O682" t="s">
        <v>74</v>
      </c>
      <c r="P682" t="s">
        <v>74</v>
      </c>
      <c r="Q682" t="s">
        <v>74</v>
      </c>
      <c r="R682" t="s">
        <v>74</v>
      </c>
      <c r="S682" t="s">
        <v>74</v>
      </c>
      <c r="T682" t="s">
        <v>74</v>
      </c>
      <c r="U682" t="s">
        <v>2516</v>
      </c>
      <c r="V682" t="s">
        <v>2517</v>
      </c>
      <c r="W682" t="s">
        <v>2518</v>
      </c>
      <c r="X682" t="s">
        <v>2519</v>
      </c>
      <c r="Y682" t="s">
        <v>2520</v>
      </c>
      <c r="Z682" t="s">
        <v>2521</v>
      </c>
      <c r="AA682" t="s">
        <v>74</v>
      </c>
      <c r="AB682" t="s">
        <v>74</v>
      </c>
      <c r="AC682" t="s">
        <v>74</v>
      </c>
      <c r="AD682" t="s">
        <v>74</v>
      </c>
      <c r="AE682" t="s">
        <v>74</v>
      </c>
      <c r="AF682" t="s">
        <v>74</v>
      </c>
      <c r="AG682">
        <v>35</v>
      </c>
      <c r="AH682">
        <v>0</v>
      </c>
      <c r="AI682">
        <v>0</v>
      </c>
      <c r="AJ682">
        <v>23</v>
      </c>
      <c r="AK682">
        <v>23</v>
      </c>
      <c r="AL682" t="s">
        <v>74</v>
      </c>
      <c r="AM682" t="s">
        <v>74</v>
      </c>
      <c r="AN682" t="s">
        <v>74</v>
      </c>
      <c r="AO682" t="s">
        <v>2022</v>
      </c>
      <c r="AP682" t="s">
        <v>2023</v>
      </c>
      <c r="AQ682" t="s">
        <v>74</v>
      </c>
      <c r="AR682" t="s">
        <v>74</v>
      </c>
      <c r="AS682" t="s">
        <v>74</v>
      </c>
      <c r="AT682" t="s">
        <v>74</v>
      </c>
      <c r="AU682" t="s">
        <v>74</v>
      </c>
      <c r="AV682" t="s">
        <v>74</v>
      </c>
      <c r="AW682" t="s">
        <v>74</v>
      </c>
      <c r="AX682" t="s">
        <v>74</v>
      </c>
      <c r="AY682" t="s">
        <v>74</v>
      </c>
      <c r="AZ682" t="s">
        <v>74</v>
      </c>
      <c r="BA682" t="s">
        <v>74</v>
      </c>
      <c r="BB682" t="s">
        <v>74</v>
      </c>
      <c r="BC682" t="s">
        <v>74</v>
      </c>
      <c r="BD682" t="s">
        <v>74</v>
      </c>
      <c r="BE682" t="s">
        <v>2522</v>
      </c>
      <c r="BF682" t="str">
        <f>HYPERLINK("http://dx.doi.org/10.1021/acs.analchem.2c01872","http://dx.doi.org/10.1021/acs.analchem.2c01872")</f>
        <v>http://dx.doi.org/10.1021/acs.analchem.2c01872</v>
      </c>
      <c r="BG682" t="s">
        <v>74</v>
      </c>
      <c r="BH682" t="s">
        <v>2523</v>
      </c>
      <c r="BI682" t="s">
        <v>74</v>
      </c>
      <c r="BJ682" t="s">
        <v>1196</v>
      </c>
      <c r="BK682" t="s">
        <v>112</v>
      </c>
      <c r="BL682" t="s">
        <v>1197</v>
      </c>
      <c r="BM682" t="s">
        <v>74</v>
      </c>
      <c r="BN682">
        <v>35731982</v>
      </c>
      <c r="BO682" t="s">
        <v>74</v>
      </c>
      <c r="BP682" t="s">
        <v>74</v>
      </c>
      <c r="BQ682" t="s">
        <v>74</v>
      </c>
      <c r="BR682" t="s">
        <v>93</v>
      </c>
      <c r="BS682" t="s">
        <v>2524</v>
      </c>
      <c r="BT682" t="str">
        <f>HYPERLINK("https%3A%2F%2Fwww.webofscience.com%2Fwos%2Fwoscc%2Ffull-record%2FWOS:000820159600001","View Full Record in Web of Science")</f>
        <v>View Full Record in Web of Science</v>
      </c>
    </row>
    <row r="683" spans="1:72" x14ac:dyDescent="0.15">
      <c r="A683" t="s">
        <v>72</v>
      </c>
      <c r="B683" t="s">
        <v>2656</v>
      </c>
      <c r="C683" t="s">
        <v>74</v>
      </c>
      <c r="D683" t="s">
        <v>74</v>
      </c>
      <c r="E683" t="s">
        <v>74</v>
      </c>
      <c r="F683" t="s">
        <v>2657</v>
      </c>
      <c r="G683" t="s">
        <v>74</v>
      </c>
      <c r="H683" t="s">
        <v>74</v>
      </c>
      <c r="I683" t="s">
        <v>2658</v>
      </c>
      <c r="J683" t="s">
        <v>2659</v>
      </c>
      <c r="K683" t="s">
        <v>74</v>
      </c>
      <c r="L683" t="s">
        <v>74</v>
      </c>
      <c r="M683" t="s">
        <v>74</v>
      </c>
      <c r="N683" t="s">
        <v>78</v>
      </c>
      <c r="O683" t="s">
        <v>74</v>
      </c>
      <c r="P683" t="s">
        <v>74</v>
      </c>
      <c r="Q683" t="s">
        <v>74</v>
      </c>
      <c r="R683" t="s">
        <v>74</v>
      </c>
      <c r="S683" t="s">
        <v>74</v>
      </c>
      <c r="T683" t="s">
        <v>2660</v>
      </c>
      <c r="U683" t="s">
        <v>2661</v>
      </c>
      <c r="V683" t="s">
        <v>2662</v>
      </c>
      <c r="W683" t="s">
        <v>2663</v>
      </c>
      <c r="X683" t="s">
        <v>2664</v>
      </c>
      <c r="Y683" t="s">
        <v>2665</v>
      </c>
      <c r="Z683" t="s">
        <v>2666</v>
      </c>
      <c r="AA683" t="s">
        <v>74</v>
      </c>
      <c r="AB683" t="s">
        <v>74</v>
      </c>
      <c r="AC683" t="s">
        <v>74</v>
      </c>
      <c r="AD683" t="s">
        <v>74</v>
      </c>
      <c r="AE683" t="s">
        <v>74</v>
      </c>
      <c r="AF683" t="s">
        <v>74</v>
      </c>
      <c r="AG683">
        <v>96</v>
      </c>
      <c r="AH683">
        <v>0</v>
      </c>
      <c r="AI683">
        <v>0</v>
      </c>
      <c r="AJ683">
        <v>8</v>
      </c>
      <c r="AK683">
        <v>8</v>
      </c>
      <c r="AL683" t="s">
        <v>74</v>
      </c>
      <c r="AM683" t="s">
        <v>74</v>
      </c>
      <c r="AN683" t="s">
        <v>74</v>
      </c>
      <c r="AO683" t="s">
        <v>2667</v>
      </c>
      <c r="AP683" t="s">
        <v>2668</v>
      </c>
      <c r="AQ683" t="s">
        <v>74</v>
      </c>
      <c r="AR683" t="s">
        <v>74</v>
      </c>
      <c r="AS683" t="s">
        <v>74</v>
      </c>
      <c r="AT683" t="s">
        <v>74</v>
      </c>
      <c r="AU683">
        <v>2022</v>
      </c>
      <c r="AV683">
        <v>15</v>
      </c>
      <c r="AW683" t="s">
        <v>74</v>
      </c>
      <c r="AX683" t="s">
        <v>74</v>
      </c>
      <c r="AY683" t="s">
        <v>74</v>
      </c>
      <c r="AZ683" t="s">
        <v>74</v>
      </c>
      <c r="BA683" t="s">
        <v>74</v>
      </c>
      <c r="BB683">
        <v>107</v>
      </c>
      <c r="BC683">
        <v>121</v>
      </c>
      <c r="BD683" t="s">
        <v>74</v>
      </c>
      <c r="BE683" t="s">
        <v>2669</v>
      </c>
      <c r="BF683" t="str">
        <f>HYPERLINK("http://dx.doi.org/10.1146/annurev-anchem-061020-123959","http://dx.doi.org/10.1146/annurev-anchem-061020-123959")</f>
        <v>http://dx.doi.org/10.1146/annurev-anchem-061020-123959</v>
      </c>
      <c r="BG683" t="s">
        <v>74</v>
      </c>
      <c r="BH683" t="s">
        <v>74</v>
      </c>
      <c r="BI683" t="s">
        <v>74</v>
      </c>
      <c r="BJ683" t="s">
        <v>2670</v>
      </c>
      <c r="BK683" t="s">
        <v>112</v>
      </c>
      <c r="BL683" t="s">
        <v>2671</v>
      </c>
      <c r="BM683" t="s">
        <v>74</v>
      </c>
      <c r="BN683">
        <v>35696523</v>
      </c>
      <c r="BO683" t="s">
        <v>74</v>
      </c>
      <c r="BP683" t="s">
        <v>74</v>
      </c>
      <c r="BQ683" t="s">
        <v>74</v>
      </c>
      <c r="BR683" t="s">
        <v>93</v>
      </c>
      <c r="BS683" t="s">
        <v>2672</v>
      </c>
      <c r="BT683" t="str">
        <f>HYPERLINK("https%3A%2F%2Fwww.webofscience.com%2Fwos%2Fwoscc%2Ffull-record%2FWOS:000811232400006","View Full Record in Web of Science")</f>
        <v>View Full Record in Web of Science</v>
      </c>
    </row>
    <row r="684" spans="1:72" x14ac:dyDescent="0.15">
      <c r="A684" t="s">
        <v>72</v>
      </c>
      <c r="B684" t="s">
        <v>2737</v>
      </c>
      <c r="C684" t="s">
        <v>74</v>
      </c>
      <c r="D684" t="s">
        <v>74</v>
      </c>
      <c r="E684" t="s">
        <v>74</v>
      </c>
      <c r="F684" t="s">
        <v>2738</v>
      </c>
      <c r="G684" t="s">
        <v>74</v>
      </c>
      <c r="H684" t="s">
        <v>74</v>
      </c>
      <c r="I684" t="s">
        <v>2739</v>
      </c>
      <c r="J684" t="s">
        <v>2740</v>
      </c>
      <c r="K684" t="s">
        <v>74</v>
      </c>
      <c r="L684" t="s">
        <v>74</v>
      </c>
      <c r="M684" t="s">
        <v>74</v>
      </c>
      <c r="N684" t="s">
        <v>78</v>
      </c>
      <c r="O684" t="s">
        <v>74</v>
      </c>
      <c r="P684" t="s">
        <v>74</v>
      </c>
      <c r="Q684" t="s">
        <v>74</v>
      </c>
      <c r="R684" t="s">
        <v>74</v>
      </c>
      <c r="S684" t="s">
        <v>74</v>
      </c>
      <c r="T684" t="s">
        <v>2741</v>
      </c>
      <c r="U684" t="s">
        <v>2742</v>
      </c>
      <c r="V684" t="s">
        <v>2743</v>
      </c>
      <c r="W684" t="s">
        <v>2744</v>
      </c>
      <c r="X684" t="s">
        <v>2745</v>
      </c>
      <c r="Y684" t="s">
        <v>2746</v>
      </c>
      <c r="Z684" t="s">
        <v>2747</v>
      </c>
      <c r="AA684" t="s">
        <v>74</v>
      </c>
      <c r="AB684" t="s">
        <v>74</v>
      </c>
      <c r="AC684" t="s">
        <v>74</v>
      </c>
      <c r="AD684" t="s">
        <v>74</v>
      </c>
      <c r="AE684" t="s">
        <v>74</v>
      </c>
      <c r="AF684" t="s">
        <v>74</v>
      </c>
      <c r="AG684">
        <v>30</v>
      </c>
      <c r="AH684">
        <v>0</v>
      </c>
      <c r="AI684">
        <v>0</v>
      </c>
      <c r="AJ684">
        <v>1</v>
      </c>
      <c r="AK684">
        <v>3</v>
      </c>
      <c r="AL684" t="s">
        <v>74</v>
      </c>
      <c r="AM684" t="s">
        <v>74</v>
      </c>
      <c r="AN684" t="s">
        <v>74</v>
      </c>
      <c r="AO684" t="s">
        <v>2748</v>
      </c>
      <c r="AP684" t="s">
        <v>2749</v>
      </c>
      <c r="AQ684" t="s">
        <v>74</v>
      </c>
      <c r="AR684" t="s">
        <v>74</v>
      </c>
      <c r="AS684" t="s">
        <v>74</v>
      </c>
      <c r="AT684" t="s">
        <v>2750</v>
      </c>
      <c r="AU684">
        <v>2021</v>
      </c>
      <c r="AV684">
        <v>758</v>
      </c>
      <c r="AW684" t="s">
        <v>74</v>
      </c>
      <c r="AX684" t="s">
        <v>74</v>
      </c>
      <c r="AY684" t="s">
        <v>74</v>
      </c>
      <c r="AZ684" t="s">
        <v>74</v>
      </c>
      <c r="BA684" t="s">
        <v>74</v>
      </c>
      <c r="BB684" t="s">
        <v>74</v>
      </c>
      <c r="BC684" t="s">
        <v>74</v>
      </c>
      <c r="BD684">
        <v>136004</v>
      </c>
      <c r="BE684" t="s">
        <v>2751</v>
      </c>
      <c r="BF684" t="str">
        <f>HYPERLINK("http://dx.doi.org/10.1016/j.neulet.2021.136004","http://dx.doi.org/10.1016/j.neulet.2021.136004")</f>
        <v>http://dx.doi.org/10.1016/j.neulet.2021.136004</v>
      </c>
      <c r="BG684" t="s">
        <v>74</v>
      </c>
      <c r="BH684" t="s">
        <v>2752</v>
      </c>
      <c r="BI684" t="s">
        <v>74</v>
      </c>
      <c r="BJ684" t="s">
        <v>2753</v>
      </c>
      <c r="BK684" t="s">
        <v>112</v>
      </c>
      <c r="BL684" t="s">
        <v>2407</v>
      </c>
      <c r="BM684" t="s">
        <v>74</v>
      </c>
      <c r="BN684">
        <v>34098025</v>
      </c>
      <c r="BO684" t="s">
        <v>74</v>
      </c>
      <c r="BP684" t="s">
        <v>74</v>
      </c>
      <c r="BQ684" t="s">
        <v>74</v>
      </c>
      <c r="BR684" t="s">
        <v>93</v>
      </c>
      <c r="BS684" t="s">
        <v>2754</v>
      </c>
      <c r="BT684" t="str">
        <f>HYPERLINK("https%3A%2F%2Fwww.webofscience.com%2Fwos%2Fwoscc%2Ffull-record%2FWOS:000663753100007","View Full Record in Web of Science")</f>
        <v>View Full Record in Web of Science</v>
      </c>
    </row>
    <row r="685" spans="1:72" x14ac:dyDescent="0.15">
      <c r="A685" t="s">
        <v>72</v>
      </c>
      <c r="B685" t="s">
        <v>2834</v>
      </c>
      <c r="C685" t="s">
        <v>74</v>
      </c>
      <c r="D685" t="s">
        <v>74</v>
      </c>
      <c r="E685" t="s">
        <v>74</v>
      </c>
      <c r="F685" t="s">
        <v>2835</v>
      </c>
      <c r="G685" t="s">
        <v>74</v>
      </c>
      <c r="H685" t="s">
        <v>74</v>
      </c>
      <c r="I685" t="s">
        <v>2836</v>
      </c>
      <c r="J685" t="s">
        <v>151</v>
      </c>
      <c r="K685" t="s">
        <v>74</v>
      </c>
      <c r="L685" t="s">
        <v>74</v>
      </c>
      <c r="M685" t="s">
        <v>74</v>
      </c>
      <c r="N685" t="s">
        <v>78</v>
      </c>
      <c r="O685" t="s">
        <v>74</v>
      </c>
      <c r="P685" t="s">
        <v>74</v>
      </c>
      <c r="Q685" t="s">
        <v>74</v>
      </c>
      <c r="R685" t="s">
        <v>74</v>
      </c>
      <c r="S685" t="s">
        <v>74</v>
      </c>
      <c r="T685" t="s">
        <v>2837</v>
      </c>
      <c r="U685" t="s">
        <v>2838</v>
      </c>
      <c r="V685" t="s">
        <v>2839</v>
      </c>
      <c r="W685" t="s">
        <v>2840</v>
      </c>
      <c r="X685" t="s">
        <v>2841</v>
      </c>
      <c r="Y685" t="s">
        <v>2842</v>
      </c>
      <c r="Z685" t="s">
        <v>2843</v>
      </c>
      <c r="AA685" t="s">
        <v>74</v>
      </c>
      <c r="AB685" t="s">
        <v>2844</v>
      </c>
      <c r="AC685" t="s">
        <v>74</v>
      </c>
      <c r="AD685" t="s">
        <v>74</v>
      </c>
      <c r="AE685" t="s">
        <v>74</v>
      </c>
      <c r="AF685" t="s">
        <v>74</v>
      </c>
      <c r="AG685">
        <v>43</v>
      </c>
      <c r="AH685">
        <v>0</v>
      </c>
      <c r="AI685">
        <v>0</v>
      </c>
      <c r="AJ685">
        <v>5</v>
      </c>
      <c r="AK685">
        <v>6</v>
      </c>
      <c r="AL685" t="s">
        <v>74</v>
      </c>
      <c r="AM685" t="s">
        <v>74</v>
      </c>
      <c r="AN685" t="s">
        <v>74</v>
      </c>
      <c r="AO685" t="s">
        <v>74</v>
      </c>
      <c r="AP685" t="s">
        <v>160</v>
      </c>
      <c r="AQ685" t="s">
        <v>74</v>
      </c>
      <c r="AR685" t="s">
        <v>74</v>
      </c>
      <c r="AS685" t="s">
        <v>74</v>
      </c>
      <c r="AT685" t="s">
        <v>108</v>
      </c>
      <c r="AU685">
        <v>2022</v>
      </c>
      <c r="AV685">
        <v>14</v>
      </c>
      <c r="AW685">
        <v>1</v>
      </c>
      <c r="AX685" t="s">
        <v>74</v>
      </c>
      <c r="AY685" t="s">
        <v>74</v>
      </c>
      <c r="AZ685" t="s">
        <v>74</v>
      </c>
      <c r="BA685" t="s">
        <v>74</v>
      </c>
      <c r="BB685" t="s">
        <v>74</v>
      </c>
      <c r="BC685" t="s">
        <v>74</v>
      </c>
      <c r="BD685">
        <v>56</v>
      </c>
      <c r="BE685" t="s">
        <v>2845</v>
      </c>
      <c r="BF685" t="str">
        <f>HYPERLINK("http://dx.doi.org/10.3390/cancers14010056","http://dx.doi.org/10.3390/cancers14010056")</f>
        <v>http://dx.doi.org/10.3390/cancers14010056</v>
      </c>
      <c r="BG685" t="s">
        <v>74</v>
      </c>
      <c r="BH685" t="s">
        <v>74</v>
      </c>
      <c r="BI685" t="s">
        <v>74</v>
      </c>
      <c r="BJ685" t="s">
        <v>146</v>
      </c>
      <c r="BK685" t="s">
        <v>112</v>
      </c>
      <c r="BL685" t="s">
        <v>146</v>
      </c>
      <c r="BM685" t="s">
        <v>74</v>
      </c>
      <c r="BN685">
        <v>35008226</v>
      </c>
      <c r="BO685" t="s">
        <v>74</v>
      </c>
      <c r="BP685" t="s">
        <v>74</v>
      </c>
      <c r="BQ685" t="s">
        <v>74</v>
      </c>
      <c r="BR685" t="s">
        <v>93</v>
      </c>
      <c r="BS685" t="s">
        <v>2846</v>
      </c>
      <c r="BT685" t="str">
        <f>HYPERLINK("https%3A%2F%2Fwww.webofscience.com%2Fwos%2Fwoscc%2Ffull-record%2FWOS:000741214200001","View Full Record in Web of Science")</f>
        <v>View Full Record in Web of Science</v>
      </c>
    </row>
    <row r="686" spans="1:72" x14ac:dyDescent="0.15">
      <c r="A686" t="s">
        <v>72</v>
      </c>
      <c r="B686" t="s">
        <v>3031</v>
      </c>
      <c r="C686" t="s">
        <v>74</v>
      </c>
      <c r="D686" t="s">
        <v>74</v>
      </c>
      <c r="E686" t="s">
        <v>74</v>
      </c>
      <c r="F686" t="s">
        <v>3032</v>
      </c>
      <c r="G686" t="s">
        <v>74</v>
      </c>
      <c r="H686" t="s">
        <v>74</v>
      </c>
      <c r="I686" t="s">
        <v>3033</v>
      </c>
      <c r="J686" t="s">
        <v>3034</v>
      </c>
      <c r="K686" t="s">
        <v>74</v>
      </c>
      <c r="L686" t="s">
        <v>74</v>
      </c>
      <c r="M686" t="s">
        <v>74</v>
      </c>
      <c r="N686" t="s">
        <v>78</v>
      </c>
      <c r="O686" t="s">
        <v>74</v>
      </c>
      <c r="P686" t="s">
        <v>74</v>
      </c>
      <c r="Q686" t="s">
        <v>74</v>
      </c>
      <c r="R686" t="s">
        <v>74</v>
      </c>
      <c r="S686" t="s">
        <v>74</v>
      </c>
      <c r="T686" t="s">
        <v>3035</v>
      </c>
      <c r="U686" t="s">
        <v>3036</v>
      </c>
      <c r="V686" t="s">
        <v>3037</v>
      </c>
      <c r="W686" t="s">
        <v>3038</v>
      </c>
      <c r="X686" t="s">
        <v>3039</v>
      </c>
      <c r="Y686" t="s">
        <v>3040</v>
      </c>
      <c r="Z686" t="s">
        <v>3041</v>
      </c>
      <c r="AA686" t="s">
        <v>74</v>
      </c>
      <c r="AB686" t="s">
        <v>74</v>
      </c>
      <c r="AC686" t="s">
        <v>74</v>
      </c>
      <c r="AD686" t="s">
        <v>74</v>
      </c>
      <c r="AE686" t="s">
        <v>74</v>
      </c>
      <c r="AF686" t="s">
        <v>74</v>
      </c>
      <c r="AG686">
        <v>68</v>
      </c>
      <c r="AH686">
        <v>0</v>
      </c>
      <c r="AI686">
        <v>0</v>
      </c>
      <c r="AJ686">
        <v>3</v>
      </c>
      <c r="AK686">
        <v>3</v>
      </c>
      <c r="AL686" t="s">
        <v>74</v>
      </c>
      <c r="AM686" t="s">
        <v>74</v>
      </c>
      <c r="AN686" t="s">
        <v>74</v>
      </c>
      <c r="AO686" t="s">
        <v>3042</v>
      </c>
      <c r="AP686" t="s">
        <v>3043</v>
      </c>
      <c r="AQ686" t="s">
        <v>74</v>
      </c>
      <c r="AR686" t="s">
        <v>74</v>
      </c>
      <c r="AS686" t="s">
        <v>74</v>
      </c>
      <c r="AT686" t="s">
        <v>640</v>
      </c>
      <c r="AU686">
        <v>2022</v>
      </c>
      <c r="AV686">
        <v>1866</v>
      </c>
      <c r="AW686">
        <v>2</v>
      </c>
      <c r="AX686" t="s">
        <v>74</v>
      </c>
      <c r="AY686" t="s">
        <v>74</v>
      </c>
      <c r="AZ686" t="s">
        <v>74</v>
      </c>
      <c r="BA686" t="s">
        <v>74</v>
      </c>
      <c r="BB686" t="s">
        <v>74</v>
      </c>
      <c r="BC686" t="s">
        <v>74</v>
      </c>
      <c r="BD686">
        <v>130069</v>
      </c>
      <c r="BE686" t="s">
        <v>3044</v>
      </c>
      <c r="BF686" t="str">
        <f>HYPERLINK("http://dx.doi.org/10.1016/j.bbagen.2021.130069","http://dx.doi.org/10.1016/j.bbagen.2021.130069")</f>
        <v>http://dx.doi.org/10.1016/j.bbagen.2021.130069</v>
      </c>
      <c r="BG686" t="s">
        <v>74</v>
      </c>
      <c r="BH686" t="s">
        <v>74</v>
      </c>
      <c r="BI686" t="s">
        <v>74</v>
      </c>
      <c r="BJ686" t="s">
        <v>2701</v>
      </c>
      <c r="BK686" t="s">
        <v>112</v>
      </c>
      <c r="BL686" t="s">
        <v>2701</v>
      </c>
      <c r="BM686" t="s">
        <v>74</v>
      </c>
      <c r="BN686">
        <v>34906563</v>
      </c>
      <c r="BO686" t="s">
        <v>74</v>
      </c>
      <c r="BP686" t="s">
        <v>74</v>
      </c>
      <c r="BQ686" t="s">
        <v>74</v>
      </c>
      <c r="BR686" t="s">
        <v>93</v>
      </c>
      <c r="BS686" t="s">
        <v>3045</v>
      </c>
      <c r="BT686" t="str">
        <f>HYPERLINK("https%3A%2F%2Fwww.webofscience.com%2Fwos%2Fwoscc%2Ffull-record%2FWOS:000790088200004","View Full Record in Web of Science")</f>
        <v>View Full Record in Web of Science</v>
      </c>
    </row>
    <row r="687" spans="1:72" x14ac:dyDescent="0.15">
      <c r="A687" t="s">
        <v>72</v>
      </c>
      <c r="B687" t="s">
        <v>3175</v>
      </c>
      <c r="C687" t="s">
        <v>74</v>
      </c>
      <c r="D687" t="s">
        <v>74</v>
      </c>
      <c r="E687" t="s">
        <v>74</v>
      </c>
      <c r="F687" t="s">
        <v>3176</v>
      </c>
      <c r="G687" t="s">
        <v>74</v>
      </c>
      <c r="H687" t="s">
        <v>74</v>
      </c>
      <c r="I687" t="s">
        <v>3177</v>
      </c>
      <c r="J687" t="s">
        <v>3178</v>
      </c>
      <c r="K687" t="s">
        <v>74</v>
      </c>
      <c r="L687" t="s">
        <v>74</v>
      </c>
      <c r="M687" t="s">
        <v>74</v>
      </c>
      <c r="N687" t="s">
        <v>78</v>
      </c>
      <c r="O687" t="s">
        <v>74</v>
      </c>
      <c r="P687" t="s">
        <v>74</v>
      </c>
      <c r="Q687" t="s">
        <v>74</v>
      </c>
      <c r="R687" t="s">
        <v>74</v>
      </c>
      <c r="S687" t="s">
        <v>74</v>
      </c>
      <c r="T687" t="s">
        <v>3179</v>
      </c>
      <c r="U687" t="s">
        <v>3180</v>
      </c>
      <c r="V687" t="s">
        <v>3181</v>
      </c>
      <c r="W687" t="s">
        <v>3182</v>
      </c>
      <c r="X687" t="s">
        <v>3183</v>
      </c>
      <c r="Y687" t="s">
        <v>3184</v>
      </c>
      <c r="Z687" t="s">
        <v>3185</v>
      </c>
      <c r="AA687" t="s">
        <v>74</v>
      </c>
      <c r="AB687" t="s">
        <v>74</v>
      </c>
      <c r="AC687" t="s">
        <v>74</v>
      </c>
      <c r="AD687" t="s">
        <v>74</v>
      </c>
      <c r="AE687" t="s">
        <v>74</v>
      </c>
      <c r="AF687" t="s">
        <v>74</v>
      </c>
      <c r="AG687">
        <v>42</v>
      </c>
      <c r="AH687">
        <v>0</v>
      </c>
      <c r="AI687">
        <v>0</v>
      </c>
      <c r="AJ687">
        <v>0</v>
      </c>
      <c r="AK687">
        <v>0</v>
      </c>
      <c r="AL687" t="s">
        <v>74</v>
      </c>
      <c r="AM687" t="s">
        <v>74</v>
      </c>
      <c r="AN687" t="s">
        <v>74</v>
      </c>
      <c r="AO687" t="s">
        <v>3186</v>
      </c>
      <c r="AP687" t="s">
        <v>74</v>
      </c>
      <c r="AQ687" t="s">
        <v>74</v>
      </c>
      <c r="AR687" t="s">
        <v>74</v>
      </c>
      <c r="AS687" t="s">
        <v>74</v>
      </c>
      <c r="AT687" t="s">
        <v>503</v>
      </c>
      <c r="AU687">
        <v>2022</v>
      </c>
      <c r="AV687">
        <v>135</v>
      </c>
      <c r="AW687" t="s">
        <v>74</v>
      </c>
      <c r="AX687" t="s">
        <v>74</v>
      </c>
      <c r="AY687" t="s">
        <v>74</v>
      </c>
      <c r="AZ687" t="s">
        <v>74</v>
      </c>
      <c r="BA687" t="s">
        <v>74</v>
      </c>
      <c r="BB687" t="s">
        <v>74</v>
      </c>
      <c r="BC687" t="s">
        <v>74</v>
      </c>
      <c r="BD687">
        <v>102213</v>
      </c>
      <c r="BE687" t="s">
        <v>3187</v>
      </c>
      <c r="BF687" t="str">
        <f>HYPERLINK("http://dx.doi.org/10.1016/j.tube.2022.102213","http://dx.doi.org/10.1016/j.tube.2022.102213")</f>
        <v>http://dx.doi.org/10.1016/j.tube.2022.102213</v>
      </c>
      <c r="BG687" t="s">
        <v>74</v>
      </c>
      <c r="BH687" t="s">
        <v>74</v>
      </c>
      <c r="BI687" t="s">
        <v>74</v>
      </c>
      <c r="BJ687" t="s">
        <v>3188</v>
      </c>
      <c r="BK687" t="s">
        <v>112</v>
      </c>
      <c r="BL687" t="s">
        <v>3188</v>
      </c>
      <c r="BM687" t="s">
        <v>74</v>
      </c>
      <c r="BN687">
        <v>35696959</v>
      </c>
      <c r="BO687" t="s">
        <v>74</v>
      </c>
      <c r="BP687" t="s">
        <v>74</v>
      </c>
      <c r="BQ687" t="s">
        <v>74</v>
      </c>
      <c r="BR687" t="s">
        <v>93</v>
      </c>
      <c r="BS687" t="s">
        <v>3189</v>
      </c>
      <c r="BT687" t="str">
        <f>HYPERLINK("https%3A%2F%2Fwww.webofscience.com%2Fwos%2Fwoscc%2Ffull-record%2FWOS:000812837000002","View Full Record in Web of Science")</f>
        <v>View Full Record in Web of Science</v>
      </c>
    </row>
    <row r="688" spans="1:72" x14ac:dyDescent="0.15">
      <c r="A688" t="s">
        <v>72</v>
      </c>
      <c r="B688" t="s">
        <v>3461</v>
      </c>
      <c r="C688" t="s">
        <v>74</v>
      </c>
      <c r="D688" t="s">
        <v>74</v>
      </c>
      <c r="E688" t="s">
        <v>74</v>
      </c>
      <c r="F688" t="s">
        <v>3462</v>
      </c>
      <c r="G688" t="s">
        <v>74</v>
      </c>
      <c r="H688" t="s">
        <v>74</v>
      </c>
      <c r="I688" t="s">
        <v>3463</v>
      </c>
      <c r="J688" t="s">
        <v>3464</v>
      </c>
      <c r="K688" t="s">
        <v>74</v>
      </c>
      <c r="L688" t="s">
        <v>74</v>
      </c>
      <c r="M688" t="s">
        <v>74</v>
      </c>
      <c r="N688" t="s">
        <v>78</v>
      </c>
      <c r="O688" t="s">
        <v>74</v>
      </c>
      <c r="P688" t="s">
        <v>74</v>
      </c>
      <c r="Q688" t="s">
        <v>74</v>
      </c>
      <c r="R688" t="s">
        <v>74</v>
      </c>
      <c r="S688" t="s">
        <v>74</v>
      </c>
      <c r="T688" t="s">
        <v>3465</v>
      </c>
      <c r="U688" t="s">
        <v>3466</v>
      </c>
      <c r="V688" t="s">
        <v>3467</v>
      </c>
      <c r="W688" t="s">
        <v>3468</v>
      </c>
      <c r="X688" t="s">
        <v>3469</v>
      </c>
      <c r="Y688" t="s">
        <v>3470</v>
      </c>
      <c r="Z688" t="s">
        <v>3471</v>
      </c>
      <c r="AA688" t="s">
        <v>74</v>
      </c>
      <c r="AB688" t="s">
        <v>74</v>
      </c>
      <c r="AC688" t="s">
        <v>74</v>
      </c>
      <c r="AD688" t="s">
        <v>74</v>
      </c>
      <c r="AE688" t="s">
        <v>74</v>
      </c>
      <c r="AF688" t="s">
        <v>74</v>
      </c>
      <c r="AG688">
        <v>39</v>
      </c>
      <c r="AH688">
        <v>0</v>
      </c>
      <c r="AI688">
        <v>0</v>
      </c>
      <c r="AJ688">
        <v>11</v>
      </c>
      <c r="AK688">
        <v>11</v>
      </c>
      <c r="AL688" t="s">
        <v>74</v>
      </c>
      <c r="AM688" t="s">
        <v>74</v>
      </c>
      <c r="AN688" t="s">
        <v>74</v>
      </c>
      <c r="AO688" t="s">
        <v>74</v>
      </c>
      <c r="AP688" t="s">
        <v>3472</v>
      </c>
      <c r="AQ688" t="s">
        <v>74</v>
      </c>
      <c r="AR688" t="s">
        <v>74</v>
      </c>
      <c r="AS688" t="s">
        <v>74</v>
      </c>
      <c r="AT688" t="s">
        <v>1111</v>
      </c>
      <c r="AU688">
        <v>2022</v>
      </c>
      <c r="AV688">
        <v>12</v>
      </c>
      <c r="AW688">
        <v>10</v>
      </c>
      <c r="AX688" t="s">
        <v>74</v>
      </c>
      <c r="AY688" t="s">
        <v>74</v>
      </c>
      <c r="AZ688" t="s">
        <v>74</v>
      </c>
      <c r="BA688" t="s">
        <v>74</v>
      </c>
      <c r="BB688" t="s">
        <v>74</v>
      </c>
      <c r="BC688" t="s">
        <v>74</v>
      </c>
      <c r="BD688">
        <v>1660</v>
      </c>
      <c r="BE688" t="s">
        <v>3473</v>
      </c>
      <c r="BF688" t="str">
        <f>HYPERLINK("http://dx.doi.org/10.3390/nano12101660","http://dx.doi.org/10.3390/nano12101660")</f>
        <v>http://dx.doi.org/10.3390/nano12101660</v>
      </c>
      <c r="BG688" t="s">
        <v>74</v>
      </c>
      <c r="BH688" t="s">
        <v>74</v>
      </c>
      <c r="BI688" t="s">
        <v>74</v>
      </c>
      <c r="BJ688" t="s">
        <v>2371</v>
      </c>
      <c r="BK688" t="s">
        <v>112</v>
      </c>
      <c r="BL688" t="s">
        <v>2124</v>
      </c>
      <c r="BM688" t="s">
        <v>74</v>
      </c>
      <c r="BN688">
        <v>35630882</v>
      </c>
      <c r="BO688" t="s">
        <v>74</v>
      </c>
      <c r="BP688" t="s">
        <v>74</v>
      </c>
      <c r="BQ688" t="s">
        <v>74</v>
      </c>
      <c r="BR688" t="s">
        <v>93</v>
      </c>
      <c r="BS688" t="s">
        <v>3474</v>
      </c>
      <c r="BT688" t="str">
        <f>HYPERLINK("https%3A%2F%2Fwww.webofscience.com%2Fwos%2Fwoscc%2Ffull-record%2FWOS:000801412100001","View Full Record in Web of Science")</f>
        <v>View Full Record in Web of Science</v>
      </c>
    </row>
    <row r="689" spans="1:72" x14ac:dyDescent="0.15">
      <c r="A689" t="s">
        <v>72</v>
      </c>
      <c r="B689" t="s">
        <v>3568</v>
      </c>
      <c r="C689" t="s">
        <v>74</v>
      </c>
      <c r="D689" t="s">
        <v>74</v>
      </c>
      <c r="E689" t="s">
        <v>74</v>
      </c>
      <c r="F689" t="s">
        <v>3569</v>
      </c>
      <c r="G689" t="s">
        <v>74</v>
      </c>
      <c r="H689" t="s">
        <v>74</v>
      </c>
      <c r="I689" t="s">
        <v>3570</v>
      </c>
      <c r="J689" t="s">
        <v>3571</v>
      </c>
      <c r="K689" t="s">
        <v>74</v>
      </c>
      <c r="L689" t="s">
        <v>74</v>
      </c>
      <c r="M689" t="s">
        <v>74</v>
      </c>
      <c r="N689" t="s">
        <v>78</v>
      </c>
      <c r="O689" t="s">
        <v>74</v>
      </c>
      <c r="P689" t="s">
        <v>74</v>
      </c>
      <c r="Q689" t="s">
        <v>74</v>
      </c>
      <c r="R689" t="s">
        <v>74</v>
      </c>
      <c r="S689" t="s">
        <v>74</v>
      </c>
      <c r="T689" t="s">
        <v>3572</v>
      </c>
      <c r="U689" t="s">
        <v>3573</v>
      </c>
      <c r="V689" t="s">
        <v>3574</v>
      </c>
      <c r="W689" t="s">
        <v>3575</v>
      </c>
      <c r="X689" t="s">
        <v>3576</v>
      </c>
      <c r="Y689" t="s">
        <v>3577</v>
      </c>
      <c r="Z689" t="s">
        <v>3578</v>
      </c>
      <c r="AA689" t="s">
        <v>74</v>
      </c>
      <c r="AB689" t="s">
        <v>74</v>
      </c>
      <c r="AC689" t="s">
        <v>74</v>
      </c>
      <c r="AD689" t="s">
        <v>74</v>
      </c>
      <c r="AE689" t="s">
        <v>74</v>
      </c>
      <c r="AF689" t="s">
        <v>74</v>
      </c>
      <c r="AG689">
        <v>43</v>
      </c>
      <c r="AH689">
        <v>0</v>
      </c>
      <c r="AI689">
        <v>0</v>
      </c>
      <c r="AJ689">
        <v>3</v>
      </c>
      <c r="AK689">
        <v>3</v>
      </c>
      <c r="AL689" t="s">
        <v>74</v>
      </c>
      <c r="AM689" t="s">
        <v>74</v>
      </c>
      <c r="AN689" t="s">
        <v>74</v>
      </c>
      <c r="AO689" t="s">
        <v>74</v>
      </c>
      <c r="AP689" t="s">
        <v>3579</v>
      </c>
      <c r="AQ689" t="s">
        <v>74</v>
      </c>
      <c r="AR689" t="s">
        <v>74</v>
      </c>
      <c r="AS689" t="s">
        <v>74</v>
      </c>
      <c r="AT689" t="s">
        <v>3580</v>
      </c>
      <c r="AU689">
        <v>2022</v>
      </c>
      <c r="AV689">
        <v>369</v>
      </c>
      <c r="AW689" t="s">
        <v>74</v>
      </c>
      <c r="AX689" t="s">
        <v>74</v>
      </c>
      <c r="AY689" t="s">
        <v>74</v>
      </c>
      <c r="AZ689" t="s">
        <v>74</v>
      </c>
      <c r="BA689" t="s">
        <v>74</v>
      </c>
      <c r="BB689" t="s">
        <v>74</v>
      </c>
      <c r="BC689" t="s">
        <v>74</v>
      </c>
      <c r="BD689">
        <v>132314</v>
      </c>
      <c r="BE689" t="s">
        <v>3581</v>
      </c>
      <c r="BF689" t="str">
        <f>HYPERLINK("http://dx.doi.org/10.1016/j.snb.2022.132314","http://dx.doi.org/10.1016/j.snb.2022.132314")</f>
        <v>http://dx.doi.org/10.1016/j.snb.2022.132314</v>
      </c>
      <c r="BG689" t="s">
        <v>74</v>
      </c>
      <c r="BH689" t="s">
        <v>74</v>
      </c>
      <c r="BI689" t="s">
        <v>74</v>
      </c>
      <c r="BJ689" t="s">
        <v>3582</v>
      </c>
      <c r="BK689" t="s">
        <v>112</v>
      </c>
      <c r="BL689" t="s">
        <v>3583</v>
      </c>
      <c r="BM689" t="s">
        <v>74</v>
      </c>
      <c r="BN689" t="s">
        <v>74</v>
      </c>
      <c r="BO689" t="s">
        <v>74</v>
      </c>
      <c r="BP689" t="s">
        <v>74</v>
      </c>
      <c r="BQ689" t="s">
        <v>74</v>
      </c>
      <c r="BR689" t="s">
        <v>93</v>
      </c>
      <c r="BS689" t="s">
        <v>3584</v>
      </c>
      <c r="BT689" t="str">
        <f>HYPERLINK("https%3A%2F%2Fwww.webofscience.com%2Fwos%2Fwoscc%2Ffull-record%2FWOS:000829239700006","View Full Record in Web of Science")</f>
        <v>View Full Record in Web of Science</v>
      </c>
    </row>
    <row r="690" spans="1:72" x14ac:dyDescent="0.15">
      <c r="A690" t="s">
        <v>72</v>
      </c>
      <c r="B690" t="s">
        <v>3664</v>
      </c>
      <c r="C690" t="s">
        <v>74</v>
      </c>
      <c r="D690" t="s">
        <v>74</v>
      </c>
      <c r="E690" t="s">
        <v>74</v>
      </c>
      <c r="F690" t="s">
        <v>3665</v>
      </c>
      <c r="G690" t="s">
        <v>74</v>
      </c>
      <c r="H690" t="s">
        <v>74</v>
      </c>
      <c r="I690" t="s">
        <v>3666</v>
      </c>
      <c r="J690" t="s">
        <v>3667</v>
      </c>
      <c r="K690" t="s">
        <v>74</v>
      </c>
      <c r="L690" t="s">
        <v>74</v>
      </c>
      <c r="M690" t="s">
        <v>74</v>
      </c>
      <c r="N690" t="s">
        <v>2515</v>
      </c>
      <c r="O690" t="s">
        <v>74</v>
      </c>
      <c r="P690" t="s">
        <v>74</v>
      </c>
      <c r="Q690" t="s">
        <v>74</v>
      </c>
      <c r="R690" t="s">
        <v>74</v>
      </c>
      <c r="S690" t="s">
        <v>74</v>
      </c>
      <c r="T690" t="s">
        <v>3668</v>
      </c>
      <c r="U690" t="s">
        <v>3669</v>
      </c>
      <c r="V690" t="s">
        <v>3670</v>
      </c>
      <c r="W690" t="s">
        <v>3671</v>
      </c>
      <c r="X690" t="s">
        <v>3672</v>
      </c>
      <c r="Y690" t="s">
        <v>3673</v>
      </c>
      <c r="Z690" t="s">
        <v>3674</v>
      </c>
      <c r="AA690" t="s">
        <v>74</v>
      </c>
      <c r="AB690" t="s">
        <v>3675</v>
      </c>
      <c r="AC690" t="s">
        <v>74</v>
      </c>
      <c r="AD690" t="s">
        <v>74</v>
      </c>
      <c r="AE690" t="s">
        <v>74</v>
      </c>
      <c r="AF690" t="s">
        <v>74</v>
      </c>
      <c r="AG690">
        <v>41</v>
      </c>
      <c r="AH690">
        <v>0</v>
      </c>
      <c r="AI690">
        <v>0</v>
      </c>
      <c r="AJ690">
        <v>1</v>
      </c>
      <c r="AK690">
        <v>1</v>
      </c>
      <c r="AL690" t="s">
        <v>74</v>
      </c>
      <c r="AM690" t="s">
        <v>74</v>
      </c>
      <c r="AN690" t="s">
        <v>74</v>
      </c>
      <c r="AO690" t="s">
        <v>3676</v>
      </c>
      <c r="AP690" t="s">
        <v>3677</v>
      </c>
      <c r="AQ690" t="s">
        <v>74</v>
      </c>
      <c r="AR690" t="s">
        <v>74</v>
      </c>
      <c r="AS690" t="s">
        <v>74</v>
      </c>
      <c r="AT690" t="s">
        <v>74</v>
      </c>
      <c r="AU690" t="s">
        <v>74</v>
      </c>
      <c r="AV690" t="s">
        <v>74</v>
      </c>
      <c r="AW690" t="s">
        <v>74</v>
      </c>
      <c r="AX690" t="s">
        <v>74</v>
      </c>
      <c r="AY690" t="s">
        <v>74</v>
      </c>
      <c r="AZ690" t="s">
        <v>74</v>
      </c>
      <c r="BA690" t="s">
        <v>74</v>
      </c>
      <c r="BB690" t="s">
        <v>74</v>
      </c>
      <c r="BC690" t="s">
        <v>74</v>
      </c>
      <c r="BD690" t="s">
        <v>74</v>
      </c>
      <c r="BE690" t="s">
        <v>3678</v>
      </c>
      <c r="BF690" t="str">
        <f>HYPERLINK("http://dx.doi.org/10.1007/s00262-022-03213-5","http://dx.doi.org/10.1007/s00262-022-03213-5")</f>
        <v>http://dx.doi.org/10.1007/s00262-022-03213-5</v>
      </c>
      <c r="BG690" t="s">
        <v>74</v>
      </c>
      <c r="BH690" t="s">
        <v>3679</v>
      </c>
      <c r="BI690" t="s">
        <v>74</v>
      </c>
      <c r="BJ690" t="s">
        <v>3680</v>
      </c>
      <c r="BK690" t="s">
        <v>112</v>
      </c>
      <c r="BL690" t="s">
        <v>3680</v>
      </c>
      <c r="BM690" t="s">
        <v>74</v>
      </c>
      <c r="BN690">
        <v>35598195</v>
      </c>
      <c r="BO690" t="s">
        <v>74</v>
      </c>
      <c r="BP690" t="s">
        <v>74</v>
      </c>
      <c r="BQ690" t="s">
        <v>74</v>
      </c>
      <c r="BR690" t="s">
        <v>93</v>
      </c>
      <c r="BS690" t="s">
        <v>3681</v>
      </c>
      <c r="BT690" t="str">
        <f>HYPERLINK("https%3A%2F%2Fwww.webofscience.com%2Fwos%2Fwoscc%2Ffull-record%2FWOS:000800842600001","View Full Record in Web of Science")</f>
        <v>View Full Record in Web of Science</v>
      </c>
    </row>
    <row r="691" spans="1:72" x14ac:dyDescent="0.15">
      <c r="A691" t="s">
        <v>72</v>
      </c>
      <c r="B691" t="s">
        <v>3794</v>
      </c>
      <c r="C691" t="s">
        <v>74</v>
      </c>
      <c r="D691" t="s">
        <v>74</v>
      </c>
      <c r="E691" t="s">
        <v>74</v>
      </c>
      <c r="F691" t="s">
        <v>3795</v>
      </c>
      <c r="G691" t="s">
        <v>74</v>
      </c>
      <c r="H691" t="s">
        <v>74</v>
      </c>
      <c r="I691" t="s">
        <v>3796</v>
      </c>
      <c r="J691" t="s">
        <v>3797</v>
      </c>
      <c r="K691" t="s">
        <v>74</v>
      </c>
      <c r="L691" t="s">
        <v>74</v>
      </c>
      <c r="M691" t="s">
        <v>74</v>
      </c>
      <c r="N691" t="s">
        <v>78</v>
      </c>
      <c r="O691" t="s">
        <v>74</v>
      </c>
      <c r="P691" t="s">
        <v>74</v>
      </c>
      <c r="Q691" t="s">
        <v>74</v>
      </c>
      <c r="R691" t="s">
        <v>74</v>
      </c>
      <c r="S691" t="s">
        <v>74</v>
      </c>
      <c r="T691" t="s">
        <v>3798</v>
      </c>
      <c r="U691" t="s">
        <v>3799</v>
      </c>
      <c r="V691" t="s">
        <v>3800</v>
      </c>
      <c r="W691" t="s">
        <v>3801</v>
      </c>
      <c r="X691" t="s">
        <v>3802</v>
      </c>
      <c r="Y691" t="s">
        <v>3803</v>
      </c>
      <c r="Z691" t="s">
        <v>3804</v>
      </c>
      <c r="AA691" t="s">
        <v>74</v>
      </c>
      <c r="AB691" t="s">
        <v>74</v>
      </c>
      <c r="AC691" t="s">
        <v>74</v>
      </c>
      <c r="AD691" t="s">
        <v>74</v>
      </c>
      <c r="AE691" t="s">
        <v>74</v>
      </c>
      <c r="AF691" t="s">
        <v>74</v>
      </c>
      <c r="AG691">
        <v>41</v>
      </c>
      <c r="AH691">
        <v>0</v>
      </c>
      <c r="AI691">
        <v>0</v>
      </c>
      <c r="AJ691">
        <v>105</v>
      </c>
      <c r="AK691">
        <v>105</v>
      </c>
      <c r="AL691" t="s">
        <v>74</v>
      </c>
      <c r="AM691" t="s">
        <v>74</v>
      </c>
      <c r="AN691" t="s">
        <v>74</v>
      </c>
      <c r="AO691" t="s">
        <v>3805</v>
      </c>
      <c r="AP691" t="s">
        <v>3806</v>
      </c>
      <c r="AQ691" t="s">
        <v>74</v>
      </c>
      <c r="AR691" t="s">
        <v>74</v>
      </c>
      <c r="AS691" t="s">
        <v>74</v>
      </c>
      <c r="AT691" t="s">
        <v>678</v>
      </c>
      <c r="AU691">
        <v>2022</v>
      </c>
      <c r="AV691">
        <v>61</v>
      </c>
      <c r="AW691">
        <v>19</v>
      </c>
      <c r="AX691" t="s">
        <v>74</v>
      </c>
      <c r="AY691" t="s">
        <v>74</v>
      </c>
      <c r="AZ691" t="s">
        <v>74</v>
      </c>
      <c r="BA691" t="s">
        <v>74</v>
      </c>
      <c r="BB691" t="s">
        <v>74</v>
      </c>
      <c r="BC691" t="s">
        <v>74</v>
      </c>
      <c r="BD691" t="s">
        <v>3807</v>
      </c>
      <c r="BE691" t="s">
        <v>3808</v>
      </c>
      <c r="BF691" t="str">
        <f>HYPERLINK("http://dx.doi.org/10.1002/anie.202116932","http://dx.doi.org/10.1002/anie.202116932")</f>
        <v>http://dx.doi.org/10.1002/anie.202116932</v>
      </c>
      <c r="BG691" t="s">
        <v>74</v>
      </c>
      <c r="BH691" t="s">
        <v>3809</v>
      </c>
      <c r="BI691" t="s">
        <v>74</v>
      </c>
      <c r="BJ691" t="s">
        <v>3810</v>
      </c>
      <c r="BK691" t="s">
        <v>112</v>
      </c>
      <c r="BL691" t="s">
        <v>1197</v>
      </c>
      <c r="BM691" t="s">
        <v>74</v>
      </c>
      <c r="BN691">
        <v>35199894</v>
      </c>
      <c r="BO691" t="s">
        <v>74</v>
      </c>
      <c r="BP691" t="s">
        <v>74</v>
      </c>
      <c r="BQ691" t="s">
        <v>74</v>
      </c>
      <c r="BR691" t="s">
        <v>93</v>
      </c>
      <c r="BS691" t="s">
        <v>3811</v>
      </c>
      <c r="BT691" t="str">
        <f>HYPERLINK("https%3A%2F%2Fwww.webofscience.com%2Fwos%2Fwoscc%2Ffull-record%2FWOS:000767681000001","View Full Record in Web of Science")</f>
        <v>View Full Record in Web of Science</v>
      </c>
    </row>
    <row r="692" spans="1:72" x14ac:dyDescent="0.15">
      <c r="A692" t="s">
        <v>72</v>
      </c>
      <c r="B692" t="s">
        <v>4215</v>
      </c>
      <c r="C692" t="s">
        <v>74</v>
      </c>
      <c r="D692" t="s">
        <v>74</v>
      </c>
      <c r="E692" t="s">
        <v>74</v>
      </c>
      <c r="F692" t="s">
        <v>4216</v>
      </c>
      <c r="G692" t="s">
        <v>74</v>
      </c>
      <c r="H692" t="s">
        <v>74</v>
      </c>
      <c r="I692" t="s">
        <v>4217</v>
      </c>
      <c r="J692" t="s">
        <v>4218</v>
      </c>
      <c r="K692" t="s">
        <v>74</v>
      </c>
      <c r="L692" t="s">
        <v>74</v>
      </c>
      <c r="M692" t="s">
        <v>74</v>
      </c>
      <c r="N692" t="s">
        <v>78</v>
      </c>
      <c r="O692" t="s">
        <v>74</v>
      </c>
      <c r="P692" t="s">
        <v>74</v>
      </c>
      <c r="Q692" t="s">
        <v>74</v>
      </c>
      <c r="R692" t="s">
        <v>74</v>
      </c>
      <c r="S692" t="s">
        <v>74</v>
      </c>
      <c r="T692" t="s">
        <v>4219</v>
      </c>
      <c r="U692" t="s">
        <v>4220</v>
      </c>
      <c r="V692" t="s">
        <v>4221</v>
      </c>
      <c r="W692" t="s">
        <v>4222</v>
      </c>
      <c r="X692" t="s">
        <v>4223</v>
      </c>
      <c r="Y692" t="s">
        <v>4224</v>
      </c>
      <c r="Z692" t="s">
        <v>4225</v>
      </c>
      <c r="AA692" t="s">
        <v>74</v>
      </c>
      <c r="AB692" t="s">
        <v>74</v>
      </c>
      <c r="AC692" t="s">
        <v>74</v>
      </c>
      <c r="AD692" t="s">
        <v>74</v>
      </c>
      <c r="AE692" t="s">
        <v>74</v>
      </c>
      <c r="AF692" t="s">
        <v>74</v>
      </c>
      <c r="AG692">
        <v>44</v>
      </c>
      <c r="AH692">
        <v>0</v>
      </c>
      <c r="AI692">
        <v>0</v>
      </c>
      <c r="AJ692">
        <v>27</v>
      </c>
      <c r="AK692">
        <v>27</v>
      </c>
      <c r="AL692" t="s">
        <v>74</v>
      </c>
      <c r="AM692" t="s">
        <v>74</v>
      </c>
      <c r="AN692" t="s">
        <v>74</v>
      </c>
      <c r="AO692" t="s">
        <v>4226</v>
      </c>
      <c r="AP692" t="s">
        <v>4227</v>
      </c>
      <c r="AQ692" t="s">
        <v>74</v>
      </c>
      <c r="AR692" t="s">
        <v>74</v>
      </c>
      <c r="AS692" t="s">
        <v>74</v>
      </c>
      <c r="AT692" t="s">
        <v>578</v>
      </c>
      <c r="AU692">
        <v>2022</v>
      </c>
      <c r="AV692">
        <v>1212</v>
      </c>
      <c r="AW692" t="s">
        <v>74</v>
      </c>
      <c r="AX692" t="s">
        <v>74</v>
      </c>
      <c r="AY692" t="s">
        <v>74</v>
      </c>
      <c r="AZ692" t="s">
        <v>74</v>
      </c>
      <c r="BA692" t="s">
        <v>74</v>
      </c>
      <c r="BB692" t="s">
        <v>74</v>
      </c>
      <c r="BC692" t="s">
        <v>74</v>
      </c>
      <c r="BD692">
        <v>339938</v>
      </c>
      <c r="BE692" t="s">
        <v>4228</v>
      </c>
      <c r="BF692" t="str">
        <f>HYPERLINK("http://dx.doi.org/10.1016/j.aca.2022.339938","http://dx.doi.org/10.1016/j.aca.2022.339938")</f>
        <v>http://dx.doi.org/10.1016/j.aca.2022.339938</v>
      </c>
      <c r="BG692" t="s">
        <v>74</v>
      </c>
      <c r="BH692" t="s">
        <v>74</v>
      </c>
      <c r="BI692" t="s">
        <v>74</v>
      </c>
      <c r="BJ692" t="s">
        <v>1196</v>
      </c>
      <c r="BK692" t="s">
        <v>112</v>
      </c>
      <c r="BL692" t="s">
        <v>1197</v>
      </c>
      <c r="BM692" t="s">
        <v>74</v>
      </c>
      <c r="BN692">
        <v>35623789</v>
      </c>
      <c r="BO692" t="s">
        <v>74</v>
      </c>
      <c r="BP692" t="s">
        <v>74</v>
      </c>
      <c r="BQ692" t="s">
        <v>74</v>
      </c>
      <c r="BR692" t="s">
        <v>93</v>
      </c>
      <c r="BS692" t="s">
        <v>4229</v>
      </c>
      <c r="BT692" t="str">
        <f>HYPERLINK("https%3A%2F%2Fwww.webofscience.com%2Fwos%2Fwoscc%2Ffull-record%2FWOS:000808280900005","View Full Record in Web of Science")</f>
        <v>View Full Record in Web of Science</v>
      </c>
    </row>
    <row r="693" spans="1:72" x14ac:dyDescent="0.15">
      <c r="A693" t="s">
        <v>72</v>
      </c>
      <c r="B693" t="s">
        <v>4274</v>
      </c>
      <c r="C693" t="s">
        <v>74</v>
      </c>
      <c r="D693" t="s">
        <v>74</v>
      </c>
      <c r="E693" t="s">
        <v>74</v>
      </c>
      <c r="F693" t="s">
        <v>4275</v>
      </c>
      <c r="G693" t="s">
        <v>74</v>
      </c>
      <c r="H693" t="s">
        <v>74</v>
      </c>
      <c r="I693" t="s">
        <v>4276</v>
      </c>
      <c r="J693" t="s">
        <v>3571</v>
      </c>
      <c r="K693" t="s">
        <v>74</v>
      </c>
      <c r="L693" t="s">
        <v>74</v>
      </c>
      <c r="M693" t="s">
        <v>74</v>
      </c>
      <c r="N693" t="s">
        <v>78</v>
      </c>
      <c r="O693" t="s">
        <v>74</v>
      </c>
      <c r="P693" t="s">
        <v>74</v>
      </c>
      <c r="Q693" t="s">
        <v>74</v>
      </c>
      <c r="R693" t="s">
        <v>74</v>
      </c>
      <c r="S693" t="s">
        <v>74</v>
      </c>
      <c r="T693" t="s">
        <v>4277</v>
      </c>
      <c r="U693" t="s">
        <v>4278</v>
      </c>
      <c r="V693" t="s">
        <v>4279</v>
      </c>
      <c r="W693" t="s">
        <v>4280</v>
      </c>
      <c r="X693" t="s">
        <v>4281</v>
      </c>
      <c r="Y693" t="s">
        <v>4282</v>
      </c>
      <c r="Z693" t="s">
        <v>4283</v>
      </c>
      <c r="AA693" t="s">
        <v>74</v>
      </c>
      <c r="AB693" t="s">
        <v>74</v>
      </c>
      <c r="AC693" t="s">
        <v>74</v>
      </c>
      <c r="AD693" t="s">
        <v>74</v>
      </c>
      <c r="AE693" t="s">
        <v>74</v>
      </c>
      <c r="AF693" t="s">
        <v>74</v>
      </c>
      <c r="AG693">
        <v>30</v>
      </c>
      <c r="AH693">
        <v>0</v>
      </c>
      <c r="AI693">
        <v>0</v>
      </c>
      <c r="AJ693">
        <v>5</v>
      </c>
      <c r="AK693">
        <v>5</v>
      </c>
      <c r="AL693" t="s">
        <v>74</v>
      </c>
      <c r="AM693" t="s">
        <v>74</v>
      </c>
      <c r="AN693" t="s">
        <v>74</v>
      </c>
      <c r="AO693" t="s">
        <v>74</v>
      </c>
      <c r="AP693" t="s">
        <v>3579</v>
      </c>
      <c r="AQ693" t="s">
        <v>74</v>
      </c>
      <c r="AR693" t="s">
        <v>74</v>
      </c>
      <c r="AS693" t="s">
        <v>74</v>
      </c>
      <c r="AT693" t="s">
        <v>4284</v>
      </c>
      <c r="AU693">
        <v>2022</v>
      </c>
      <c r="AV693">
        <v>351</v>
      </c>
      <c r="AW693" t="s">
        <v>74</v>
      </c>
      <c r="AX693" t="s">
        <v>74</v>
      </c>
      <c r="AY693" t="s">
        <v>74</v>
      </c>
      <c r="AZ693" t="s">
        <v>74</v>
      </c>
      <c r="BA693" t="s">
        <v>74</v>
      </c>
      <c r="BB693" t="s">
        <v>74</v>
      </c>
      <c r="BC693" t="s">
        <v>74</v>
      </c>
      <c r="BD693">
        <v>130893</v>
      </c>
      <c r="BE693" t="s">
        <v>4285</v>
      </c>
      <c r="BF693" t="str">
        <f>HYPERLINK("http://dx.doi.org/10.1016/j.snb.2021.130893","http://dx.doi.org/10.1016/j.snb.2021.130893")</f>
        <v>http://dx.doi.org/10.1016/j.snb.2021.130893</v>
      </c>
      <c r="BG693" t="s">
        <v>74</v>
      </c>
      <c r="BH693" t="s">
        <v>74</v>
      </c>
      <c r="BI693" t="s">
        <v>74</v>
      </c>
      <c r="BJ693" t="s">
        <v>3582</v>
      </c>
      <c r="BK693" t="s">
        <v>112</v>
      </c>
      <c r="BL693" t="s">
        <v>3583</v>
      </c>
      <c r="BM693" t="s">
        <v>74</v>
      </c>
      <c r="BN693" t="s">
        <v>74</v>
      </c>
      <c r="BO693" t="s">
        <v>74</v>
      </c>
      <c r="BP693" t="s">
        <v>74</v>
      </c>
      <c r="BQ693" t="s">
        <v>74</v>
      </c>
      <c r="BR693" t="s">
        <v>93</v>
      </c>
      <c r="BS693" t="s">
        <v>4286</v>
      </c>
      <c r="BT693" t="str">
        <f>HYPERLINK("https%3A%2F%2Fwww.webofscience.com%2Fwos%2Fwoscc%2Ffull-record%2FWOS:000823049300003","View Full Record in Web of Science")</f>
        <v>View Full Record in Web of Science</v>
      </c>
    </row>
    <row r="694" spans="1:72" x14ac:dyDescent="0.15">
      <c r="A694" t="s">
        <v>72</v>
      </c>
      <c r="B694" t="s">
        <v>4947</v>
      </c>
      <c r="C694" t="s">
        <v>74</v>
      </c>
      <c r="D694" t="s">
        <v>74</v>
      </c>
      <c r="E694" t="s">
        <v>74</v>
      </c>
      <c r="F694" t="s">
        <v>4948</v>
      </c>
      <c r="G694" t="s">
        <v>74</v>
      </c>
      <c r="H694" t="s">
        <v>74</v>
      </c>
      <c r="I694" t="s">
        <v>4949</v>
      </c>
      <c r="J694" t="s">
        <v>2030</v>
      </c>
      <c r="K694" t="s">
        <v>74</v>
      </c>
      <c r="L694" t="s">
        <v>74</v>
      </c>
      <c r="M694" t="s">
        <v>74</v>
      </c>
      <c r="N694" t="s">
        <v>78</v>
      </c>
      <c r="O694" t="s">
        <v>74</v>
      </c>
      <c r="P694" t="s">
        <v>74</v>
      </c>
      <c r="Q694" t="s">
        <v>74</v>
      </c>
      <c r="R694" t="s">
        <v>74</v>
      </c>
      <c r="S694" t="s">
        <v>74</v>
      </c>
      <c r="T694" t="s">
        <v>74</v>
      </c>
      <c r="U694" t="s">
        <v>4950</v>
      </c>
      <c r="V694" t="s">
        <v>74</v>
      </c>
      <c r="W694" t="s">
        <v>4951</v>
      </c>
      <c r="X694" t="s">
        <v>4952</v>
      </c>
      <c r="Y694" t="s">
        <v>4953</v>
      </c>
      <c r="Z694" t="s">
        <v>395</v>
      </c>
      <c r="AA694" t="s">
        <v>4954</v>
      </c>
      <c r="AB694" t="s">
        <v>4955</v>
      </c>
      <c r="AC694" t="s">
        <v>74</v>
      </c>
      <c r="AD694" t="s">
        <v>74</v>
      </c>
      <c r="AE694" t="s">
        <v>74</v>
      </c>
      <c r="AF694" t="s">
        <v>74</v>
      </c>
      <c r="AG694">
        <v>40</v>
      </c>
      <c r="AH694">
        <v>0</v>
      </c>
      <c r="AI694">
        <v>0</v>
      </c>
      <c r="AJ694">
        <v>0</v>
      </c>
      <c r="AK694">
        <v>2</v>
      </c>
      <c r="AL694" t="s">
        <v>74</v>
      </c>
      <c r="AM694" t="s">
        <v>74</v>
      </c>
      <c r="AN694" t="s">
        <v>74</v>
      </c>
      <c r="AO694" t="s">
        <v>2039</v>
      </c>
      <c r="AP694" t="s">
        <v>2040</v>
      </c>
      <c r="AQ694" t="s">
        <v>74</v>
      </c>
      <c r="AR694" t="s">
        <v>74</v>
      </c>
      <c r="AS694" t="s">
        <v>74</v>
      </c>
      <c r="AT694" t="s">
        <v>503</v>
      </c>
      <c r="AU694">
        <v>2020</v>
      </c>
      <c r="AV694">
        <v>128</v>
      </c>
      <c r="AW694" t="s">
        <v>74</v>
      </c>
      <c r="AX694" t="s">
        <v>74</v>
      </c>
      <c r="AY694" t="s">
        <v>74</v>
      </c>
      <c r="AZ694" t="s">
        <v>74</v>
      </c>
      <c r="BA694" t="s">
        <v>74</v>
      </c>
      <c r="BB694" t="s">
        <v>74</v>
      </c>
      <c r="BC694" t="s">
        <v>74</v>
      </c>
      <c r="BD694" t="s">
        <v>74</v>
      </c>
      <c r="BE694" t="s">
        <v>74</v>
      </c>
      <c r="BF694" t="s">
        <v>74</v>
      </c>
      <c r="BG694" t="s">
        <v>74</v>
      </c>
      <c r="BH694" t="s">
        <v>74</v>
      </c>
      <c r="BI694" t="s">
        <v>74</v>
      </c>
      <c r="BJ694" t="s">
        <v>401</v>
      </c>
      <c r="BK694" t="s">
        <v>112</v>
      </c>
      <c r="BL694" t="s">
        <v>401</v>
      </c>
      <c r="BM694" t="s">
        <v>74</v>
      </c>
      <c r="BN694" t="s">
        <v>74</v>
      </c>
      <c r="BO694" t="s">
        <v>74</v>
      </c>
      <c r="BP694" t="s">
        <v>74</v>
      </c>
      <c r="BQ694" t="s">
        <v>74</v>
      </c>
      <c r="BR694" t="s">
        <v>93</v>
      </c>
      <c r="BS694" t="s">
        <v>4956</v>
      </c>
      <c r="BT694" t="str">
        <f>HYPERLINK("https%3A%2F%2Fwww.webofscience.com%2Fwos%2Fwoscc%2Ffull-record%2FWOS:000541168000038","View Full Record in Web of Science")</f>
        <v>View Full Record in Web of Science</v>
      </c>
    </row>
    <row r="695" spans="1:72" x14ac:dyDescent="0.15">
      <c r="A695" t="s">
        <v>72</v>
      </c>
      <c r="B695" t="s">
        <v>5015</v>
      </c>
      <c r="C695" t="s">
        <v>74</v>
      </c>
      <c r="D695" t="s">
        <v>74</v>
      </c>
      <c r="E695" t="s">
        <v>74</v>
      </c>
      <c r="F695" t="s">
        <v>5016</v>
      </c>
      <c r="G695" t="s">
        <v>74</v>
      </c>
      <c r="H695" t="s">
        <v>74</v>
      </c>
      <c r="I695" t="s">
        <v>5017</v>
      </c>
      <c r="J695" t="s">
        <v>667</v>
      </c>
      <c r="K695" t="s">
        <v>74</v>
      </c>
      <c r="L695" t="s">
        <v>74</v>
      </c>
      <c r="M695" t="s">
        <v>74</v>
      </c>
      <c r="N695" t="s">
        <v>78</v>
      </c>
      <c r="O695" t="s">
        <v>74</v>
      </c>
      <c r="P695" t="s">
        <v>74</v>
      </c>
      <c r="Q695" t="s">
        <v>74</v>
      </c>
      <c r="R695" t="s">
        <v>74</v>
      </c>
      <c r="S695" t="s">
        <v>74</v>
      </c>
      <c r="T695" t="s">
        <v>5018</v>
      </c>
      <c r="U695" t="s">
        <v>5019</v>
      </c>
      <c r="V695" t="s">
        <v>5020</v>
      </c>
      <c r="W695" t="s">
        <v>5021</v>
      </c>
      <c r="X695" t="s">
        <v>5022</v>
      </c>
      <c r="Y695" t="s">
        <v>5023</v>
      </c>
      <c r="Z695" t="s">
        <v>5024</v>
      </c>
      <c r="AA695" t="s">
        <v>5025</v>
      </c>
      <c r="AB695" t="s">
        <v>5026</v>
      </c>
      <c r="AC695" t="s">
        <v>74</v>
      </c>
      <c r="AD695" t="s">
        <v>74</v>
      </c>
      <c r="AE695" t="s">
        <v>74</v>
      </c>
      <c r="AF695" t="s">
        <v>74</v>
      </c>
      <c r="AG695">
        <v>94</v>
      </c>
      <c r="AH695">
        <v>0</v>
      </c>
      <c r="AI695">
        <v>0</v>
      </c>
      <c r="AJ695">
        <v>0</v>
      </c>
      <c r="AK695">
        <v>0</v>
      </c>
      <c r="AL695" t="s">
        <v>74</v>
      </c>
      <c r="AM695" t="s">
        <v>74</v>
      </c>
      <c r="AN695" t="s">
        <v>74</v>
      </c>
      <c r="AO695" t="s">
        <v>74</v>
      </c>
      <c r="AP695" t="s">
        <v>677</v>
      </c>
      <c r="AQ695" t="s">
        <v>74</v>
      </c>
      <c r="AR695" t="s">
        <v>74</v>
      </c>
      <c r="AS695" t="s">
        <v>74</v>
      </c>
      <c r="AT695" t="s">
        <v>88</v>
      </c>
      <c r="AU695">
        <v>2022</v>
      </c>
      <c r="AV695">
        <v>23</v>
      </c>
      <c r="AW695">
        <v>11</v>
      </c>
      <c r="AX695" t="s">
        <v>74</v>
      </c>
      <c r="AY695" t="s">
        <v>74</v>
      </c>
      <c r="AZ695" t="s">
        <v>74</v>
      </c>
      <c r="BA695" t="s">
        <v>74</v>
      </c>
      <c r="BB695" t="s">
        <v>74</v>
      </c>
      <c r="BC695" t="s">
        <v>74</v>
      </c>
      <c r="BD695">
        <v>5967</v>
      </c>
      <c r="BE695" t="s">
        <v>5027</v>
      </c>
      <c r="BF695" t="str">
        <f>HYPERLINK("http://dx.doi.org/10.3390/ijms23115967","http://dx.doi.org/10.3390/ijms23115967")</f>
        <v>http://dx.doi.org/10.3390/ijms23115967</v>
      </c>
      <c r="BG695" t="s">
        <v>74</v>
      </c>
      <c r="BH695" t="s">
        <v>74</v>
      </c>
      <c r="BI695" t="s">
        <v>74</v>
      </c>
      <c r="BJ695" t="s">
        <v>680</v>
      </c>
      <c r="BK695" t="s">
        <v>112</v>
      </c>
      <c r="BL695" t="s">
        <v>681</v>
      </c>
      <c r="BM695" t="s">
        <v>74</v>
      </c>
      <c r="BN695">
        <v>35682646</v>
      </c>
      <c r="BO695" t="s">
        <v>74</v>
      </c>
      <c r="BP695" t="s">
        <v>74</v>
      </c>
      <c r="BQ695" t="s">
        <v>74</v>
      </c>
      <c r="BR695" t="s">
        <v>93</v>
      </c>
      <c r="BS695" t="s">
        <v>5028</v>
      </c>
      <c r="BT695" t="str">
        <f>HYPERLINK("https%3A%2F%2Fwww.webofscience.com%2Fwos%2Fwoscc%2Ffull-record%2FWOS:000808893700001","View Full Record in Web of Science")</f>
        <v>View Full Record in Web of Science</v>
      </c>
    </row>
    <row r="696" spans="1:72" x14ac:dyDescent="0.15">
      <c r="A696" t="s">
        <v>72</v>
      </c>
      <c r="B696" t="s">
        <v>5044</v>
      </c>
      <c r="C696" t="s">
        <v>74</v>
      </c>
      <c r="D696" t="s">
        <v>74</v>
      </c>
      <c r="E696" t="s">
        <v>74</v>
      </c>
      <c r="F696" t="s">
        <v>5045</v>
      </c>
      <c r="G696" t="s">
        <v>74</v>
      </c>
      <c r="H696" t="s">
        <v>74</v>
      </c>
      <c r="I696" t="s">
        <v>5046</v>
      </c>
      <c r="J696" t="s">
        <v>5047</v>
      </c>
      <c r="K696" t="s">
        <v>74</v>
      </c>
      <c r="L696" t="s">
        <v>74</v>
      </c>
      <c r="M696" t="s">
        <v>74</v>
      </c>
      <c r="N696" t="s">
        <v>78</v>
      </c>
      <c r="O696" t="s">
        <v>74</v>
      </c>
      <c r="P696" t="s">
        <v>74</v>
      </c>
      <c r="Q696" t="s">
        <v>74</v>
      </c>
      <c r="R696" t="s">
        <v>74</v>
      </c>
      <c r="S696" t="s">
        <v>74</v>
      </c>
      <c r="T696" t="s">
        <v>5048</v>
      </c>
      <c r="U696" t="s">
        <v>5049</v>
      </c>
      <c r="V696" t="s">
        <v>5050</v>
      </c>
      <c r="W696" t="s">
        <v>5051</v>
      </c>
      <c r="X696" t="s">
        <v>5052</v>
      </c>
      <c r="Y696" t="s">
        <v>5053</v>
      </c>
      <c r="Z696" t="s">
        <v>5054</v>
      </c>
      <c r="AA696" t="s">
        <v>5055</v>
      </c>
      <c r="AB696" t="s">
        <v>5056</v>
      </c>
      <c r="AC696" t="s">
        <v>74</v>
      </c>
      <c r="AD696" t="s">
        <v>74</v>
      </c>
      <c r="AE696" t="s">
        <v>74</v>
      </c>
      <c r="AF696" t="s">
        <v>74</v>
      </c>
      <c r="AG696">
        <v>60</v>
      </c>
      <c r="AH696">
        <v>0</v>
      </c>
      <c r="AI696">
        <v>0</v>
      </c>
      <c r="AJ696">
        <v>1</v>
      </c>
      <c r="AK696">
        <v>1</v>
      </c>
      <c r="AL696" t="s">
        <v>74</v>
      </c>
      <c r="AM696" t="s">
        <v>74</v>
      </c>
      <c r="AN696" t="s">
        <v>74</v>
      </c>
      <c r="AO696" t="s">
        <v>5057</v>
      </c>
      <c r="AP696" t="s">
        <v>5058</v>
      </c>
      <c r="AQ696" t="s">
        <v>74</v>
      </c>
      <c r="AR696" t="s">
        <v>74</v>
      </c>
      <c r="AS696" t="s">
        <v>74</v>
      </c>
      <c r="AT696" t="s">
        <v>1808</v>
      </c>
      <c r="AU696">
        <v>2022</v>
      </c>
      <c r="AV696">
        <v>208</v>
      </c>
      <c r="AW696">
        <v>1</v>
      </c>
      <c r="AX696" t="s">
        <v>74</v>
      </c>
      <c r="AY696" t="s">
        <v>74</v>
      </c>
      <c r="AZ696" t="s">
        <v>74</v>
      </c>
      <c r="BA696" t="s">
        <v>74</v>
      </c>
      <c r="BB696">
        <v>103</v>
      </c>
      <c r="BC696">
        <v>113</v>
      </c>
      <c r="BD696" t="s">
        <v>74</v>
      </c>
      <c r="BE696" t="s">
        <v>5059</v>
      </c>
      <c r="BF696" t="str">
        <f>HYPERLINK("http://dx.doi.org/10.1093/cei/uxac022","http://dx.doi.org/10.1093/cei/uxac022")</f>
        <v>http://dx.doi.org/10.1093/cei/uxac022</v>
      </c>
      <c r="BG696" t="s">
        <v>74</v>
      </c>
      <c r="BH696" t="s">
        <v>3809</v>
      </c>
      <c r="BI696" t="s">
        <v>74</v>
      </c>
      <c r="BJ696" t="s">
        <v>2276</v>
      </c>
      <c r="BK696" t="s">
        <v>112</v>
      </c>
      <c r="BL696" t="s">
        <v>2276</v>
      </c>
      <c r="BM696" t="s">
        <v>74</v>
      </c>
      <c r="BN696" t="s">
        <v>74</v>
      </c>
      <c r="BO696" t="s">
        <v>74</v>
      </c>
      <c r="BP696" t="s">
        <v>74</v>
      </c>
      <c r="BQ696" t="s">
        <v>74</v>
      </c>
      <c r="BR696" t="s">
        <v>93</v>
      </c>
      <c r="BS696" t="s">
        <v>5060</v>
      </c>
      <c r="BT696" t="str">
        <f>HYPERLINK("https%3A%2F%2Fwww.webofscience.com%2Fwos%2Fwoscc%2Ffull-record%2FWOS:000784527200001","View Full Record in Web of Science")</f>
        <v>View Full Record in Web of Science</v>
      </c>
    </row>
    <row r="697" spans="1:72" x14ac:dyDescent="0.15">
      <c r="A697" t="s">
        <v>72</v>
      </c>
      <c r="B697" t="s">
        <v>5198</v>
      </c>
      <c r="C697" t="s">
        <v>74</v>
      </c>
      <c r="D697" t="s">
        <v>74</v>
      </c>
      <c r="E697" t="s">
        <v>74</v>
      </c>
      <c r="F697" t="s">
        <v>5199</v>
      </c>
      <c r="G697" t="s">
        <v>74</v>
      </c>
      <c r="H697" t="s">
        <v>74</v>
      </c>
      <c r="I697" t="s">
        <v>5200</v>
      </c>
      <c r="J697" t="s">
        <v>4233</v>
      </c>
      <c r="K697" t="s">
        <v>74</v>
      </c>
      <c r="L697" t="s">
        <v>74</v>
      </c>
      <c r="M697" t="s">
        <v>74</v>
      </c>
      <c r="N697" t="s">
        <v>78</v>
      </c>
      <c r="O697" t="s">
        <v>74</v>
      </c>
      <c r="P697" t="s">
        <v>74</v>
      </c>
      <c r="Q697" t="s">
        <v>74</v>
      </c>
      <c r="R697" t="s">
        <v>74</v>
      </c>
      <c r="S697" t="s">
        <v>74</v>
      </c>
      <c r="T697" t="s">
        <v>5201</v>
      </c>
      <c r="U697" t="s">
        <v>5202</v>
      </c>
      <c r="V697" t="s">
        <v>5203</v>
      </c>
      <c r="W697" t="s">
        <v>5204</v>
      </c>
      <c r="X697" t="s">
        <v>5205</v>
      </c>
      <c r="Y697" t="s">
        <v>5206</v>
      </c>
      <c r="Z697" t="s">
        <v>5207</v>
      </c>
      <c r="AA697" t="s">
        <v>74</v>
      </c>
      <c r="AB697" t="s">
        <v>74</v>
      </c>
      <c r="AC697" t="s">
        <v>74</v>
      </c>
      <c r="AD697" t="s">
        <v>74</v>
      </c>
      <c r="AE697" t="s">
        <v>74</v>
      </c>
      <c r="AF697" t="s">
        <v>74</v>
      </c>
      <c r="AG697">
        <v>36</v>
      </c>
      <c r="AH697">
        <v>0</v>
      </c>
      <c r="AI697">
        <v>0</v>
      </c>
      <c r="AJ697">
        <v>2</v>
      </c>
      <c r="AK697">
        <v>2</v>
      </c>
      <c r="AL697" t="s">
        <v>74</v>
      </c>
      <c r="AM697" t="s">
        <v>74</v>
      </c>
      <c r="AN697" t="s">
        <v>74</v>
      </c>
      <c r="AO697" t="s">
        <v>4242</v>
      </c>
      <c r="AP697" t="s">
        <v>74</v>
      </c>
      <c r="AQ697" t="s">
        <v>74</v>
      </c>
      <c r="AR697" t="s">
        <v>74</v>
      </c>
      <c r="AS697" t="s">
        <v>74</v>
      </c>
      <c r="AT697" t="s">
        <v>5208</v>
      </c>
      <c r="AU697">
        <v>2022</v>
      </c>
      <c r="AV697">
        <v>10</v>
      </c>
      <c r="AW697" t="s">
        <v>74</v>
      </c>
      <c r="AX697" t="s">
        <v>74</v>
      </c>
      <c r="AY697" t="s">
        <v>74</v>
      </c>
      <c r="AZ697" t="s">
        <v>74</v>
      </c>
      <c r="BA697" t="s">
        <v>74</v>
      </c>
      <c r="BB697" t="s">
        <v>74</v>
      </c>
      <c r="BC697" t="s">
        <v>74</v>
      </c>
      <c r="BD697">
        <v>892661</v>
      </c>
      <c r="BE697" t="s">
        <v>5209</v>
      </c>
      <c r="BF697" t="str">
        <f>HYPERLINK("http://dx.doi.org/10.3389/fbioe.2022.892661","http://dx.doi.org/10.3389/fbioe.2022.892661")</f>
        <v>http://dx.doi.org/10.3389/fbioe.2022.892661</v>
      </c>
      <c r="BG697" t="s">
        <v>74</v>
      </c>
      <c r="BH697" t="s">
        <v>74</v>
      </c>
      <c r="BI697" t="s">
        <v>74</v>
      </c>
      <c r="BJ697" t="s">
        <v>4245</v>
      </c>
      <c r="BK697" t="s">
        <v>112</v>
      </c>
      <c r="BL697" t="s">
        <v>1682</v>
      </c>
      <c r="BM697" t="s">
        <v>74</v>
      </c>
      <c r="BN697">
        <v>35721867</v>
      </c>
      <c r="BO697" t="s">
        <v>74</v>
      </c>
      <c r="BP697" t="s">
        <v>74</v>
      </c>
      <c r="BQ697" t="s">
        <v>74</v>
      </c>
      <c r="BR697" t="s">
        <v>93</v>
      </c>
      <c r="BS697" t="s">
        <v>5210</v>
      </c>
      <c r="BT697" t="str">
        <f>HYPERLINK("https%3A%2F%2Fwww.webofscience.com%2Fwos%2Fwoscc%2Ffull-record%2FWOS:000811647200001","View Full Record in Web of Science")</f>
        <v>View Full Record in Web of Science</v>
      </c>
    </row>
    <row r="698" spans="1:72" x14ac:dyDescent="0.15">
      <c r="A698" t="s">
        <v>72</v>
      </c>
      <c r="B698" t="s">
        <v>5225</v>
      </c>
      <c r="C698" t="s">
        <v>74</v>
      </c>
      <c r="D698" t="s">
        <v>74</v>
      </c>
      <c r="E698" t="s">
        <v>74</v>
      </c>
      <c r="F698" t="s">
        <v>5226</v>
      </c>
      <c r="G698" t="s">
        <v>74</v>
      </c>
      <c r="H698" t="s">
        <v>74</v>
      </c>
      <c r="I698" t="s">
        <v>5227</v>
      </c>
      <c r="J698" t="s">
        <v>151</v>
      </c>
      <c r="K698" t="s">
        <v>74</v>
      </c>
      <c r="L698" t="s">
        <v>74</v>
      </c>
      <c r="M698" t="s">
        <v>74</v>
      </c>
      <c r="N698" t="s">
        <v>78</v>
      </c>
      <c r="O698" t="s">
        <v>74</v>
      </c>
      <c r="P698" t="s">
        <v>74</v>
      </c>
      <c r="Q698" t="s">
        <v>74</v>
      </c>
      <c r="R698" t="s">
        <v>74</v>
      </c>
      <c r="S698" t="s">
        <v>74</v>
      </c>
      <c r="T698" t="s">
        <v>5228</v>
      </c>
      <c r="U698" t="s">
        <v>5229</v>
      </c>
      <c r="V698" t="s">
        <v>5230</v>
      </c>
      <c r="W698" t="s">
        <v>5231</v>
      </c>
      <c r="X698" t="s">
        <v>5232</v>
      </c>
      <c r="Y698" t="s">
        <v>5233</v>
      </c>
      <c r="Z698" t="s">
        <v>5234</v>
      </c>
      <c r="AA698" t="s">
        <v>74</v>
      </c>
      <c r="AB698" t="s">
        <v>5235</v>
      </c>
      <c r="AC698" t="s">
        <v>74</v>
      </c>
      <c r="AD698" t="s">
        <v>74</v>
      </c>
      <c r="AE698" t="s">
        <v>74</v>
      </c>
      <c r="AF698" t="s">
        <v>74</v>
      </c>
      <c r="AG698">
        <v>41</v>
      </c>
      <c r="AH698">
        <v>0</v>
      </c>
      <c r="AI698">
        <v>0</v>
      </c>
      <c r="AJ698">
        <v>0</v>
      </c>
      <c r="AK698">
        <v>1</v>
      </c>
      <c r="AL698" t="s">
        <v>74</v>
      </c>
      <c r="AM698" t="s">
        <v>74</v>
      </c>
      <c r="AN698" t="s">
        <v>74</v>
      </c>
      <c r="AO698" t="s">
        <v>74</v>
      </c>
      <c r="AP698" t="s">
        <v>160</v>
      </c>
      <c r="AQ698" t="s">
        <v>74</v>
      </c>
      <c r="AR698" t="s">
        <v>74</v>
      </c>
      <c r="AS698" t="s">
        <v>74</v>
      </c>
      <c r="AT698" t="s">
        <v>236</v>
      </c>
      <c r="AU698">
        <v>2021</v>
      </c>
      <c r="AV698">
        <v>13</v>
      </c>
      <c r="AW698">
        <v>22</v>
      </c>
      <c r="AX698" t="s">
        <v>74</v>
      </c>
      <c r="AY698" t="s">
        <v>74</v>
      </c>
      <c r="AZ698" t="s">
        <v>74</v>
      </c>
      <c r="BA698" t="s">
        <v>74</v>
      </c>
      <c r="BB698" t="s">
        <v>74</v>
      </c>
      <c r="BC698" t="s">
        <v>74</v>
      </c>
      <c r="BD698">
        <v>5825</v>
      </c>
      <c r="BE698" t="s">
        <v>5236</v>
      </c>
      <c r="BF698" t="str">
        <f>HYPERLINK("http://dx.doi.org/10.3390/cancers13225825","http://dx.doi.org/10.3390/cancers13225825")</f>
        <v>http://dx.doi.org/10.3390/cancers13225825</v>
      </c>
      <c r="BG698" t="s">
        <v>74</v>
      </c>
      <c r="BH698" t="s">
        <v>74</v>
      </c>
      <c r="BI698" t="s">
        <v>74</v>
      </c>
      <c r="BJ698" t="s">
        <v>146</v>
      </c>
      <c r="BK698" t="s">
        <v>112</v>
      </c>
      <c r="BL698" t="s">
        <v>146</v>
      </c>
      <c r="BM698" t="s">
        <v>74</v>
      </c>
      <c r="BN698">
        <v>34830979</v>
      </c>
      <c r="BO698" t="s">
        <v>74</v>
      </c>
      <c r="BP698" t="s">
        <v>74</v>
      </c>
      <c r="BQ698" t="s">
        <v>74</v>
      </c>
      <c r="BR698" t="s">
        <v>93</v>
      </c>
      <c r="BS698" t="s">
        <v>5237</v>
      </c>
      <c r="BT698" t="str">
        <f>HYPERLINK("https%3A%2F%2Fwww.webofscience.com%2Fwos%2Fwoscc%2Ffull-record%2FWOS:000773917700039","View Full Record in Web of Science")</f>
        <v>View Full Record in Web of Science</v>
      </c>
    </row>
    <row r="699" spans="1:72" x14ac:dyDescent="0.15">
      <c r="A699" t="s">
        <v>72</v>
      </c>
      <c r="B699" t="s">
        <v>5443</v>
      </c>
      <c r="C699" t="s">
        <v>74</v>
      </c>
      <c r="D699" t="s">
        <v>74</v>
      </c>
      <c r="E699" t="s">
        <v>74</v>
      </c>
      <c r="F699" t="s">
        <v>5444</v>
      </c>
      <c r="G699" t="s">
        <v>74</v>
      </c>
      <c r="H699" t="s">
        <v>74</v>
      </c>
      <c r="I699" t="s">
        <v>5445</v>
      </c>
      <c r="J699" t="s">
        <v>5446</v>
      </c>
      <c r="K699" t="s">
        <v>74</v>
      </c>
      <c r="L699" t="s">
        <v>74</v>
      </c>
      <c r="M699" t="s">
        <v>74</v>
      </c>
      <c r="N699" t="s">
        <v>78</v>
      </c>
      <c r="O699" t="s">
        <v>74</v>
      </c>
      <c r="P699" t="s">
        <v>74</v>
      </c>
      <c r="Q699" t="s">
        <v>74</v>
      </c>
      <c r="R699" t="s">
        <v>74</v>
      </c>
      <c r="S699" t="s">
        <v>74</v>
      </c>
      <c r="T699" t="s">
        <v>5447</v>
      </c>
      <c r="U699" t="s">
        <v>5448</v>
      </c>
      <c r="V699" t="s">
        <v>5449</v>
      </c>
      <c r="W699" t="s">
        <v>5450</v>
      </c>
      <c r="X699" t="s">
        <v>5451</v>
      </c>
      <c r="Y699" t="s">
        <v>5452</v>
      </c>
      <c r="Z699" t="s">
        <v>5453</v>
      </c>
      <c r="AA699" t="s">
        <v>74</v>
      </c>
      <c r="AB699" t="s">
        <v>74</v>
      </c>
      <c r="AC699" t="s">
        <v>74</v>
      </c>
      <c r="AD699" t="s">
        <v>74</v>
      </c>
      <c r="AE699" t="s">
        <v>74</v>
      </c>
      <c r="AF699" t="s">
        <v>74</v>
      </c>
      <c r="AG699">
        <v>44</v>
      </c>
      <c r="AH699">
        <v>0</v>
      </c>
      <c r="AI699">
        <v>0</v>
      </c>
      <c r="AJ699">
        <v>0</v>
      </c>
      <c r="AK699">
        <v>2</v>
      </c>
      <c r="AL699" t="s">
        <v>74</v>
      </c>
      <c r="AM699" t="s">
        <v>74</v>
      </c>
      <c r="AN699" t="s">
        <v>74</v>
      </c>
      <c r="AO699" t="s">
        <v>74</v>
      </c>
      <c r="AP699" t="s">
        <v>5454</v>
      </c>
      <c r="AQ699" t="s">
        <v>74</v>
      </c>
      <c r="AR699" t="s">
        <v>74</v>
      </c>
      <c r="AS699" t="s">
        <v>74</v>
      </c>
      <c r="AT699" t="s">
        <v>5455</v>
      </c>
      <c r="AU699">
        <v>2021</v>
      </c>
      <c r="AV699">
        <v>11</v>
      </c>
      <c r="AW699">
        <v>23</v>
      </c>
      <c r="AX699" t="s">
        <v>74</v>
      </c>
      <c r="AY699" t="s">
        <v>74</v>
      </c>
      <c r="AZ699" t="s">
        <v>74</v>
      </c>
      <c r="BA699" t="s">
        <v>74</v>
      </c>
      <c r="BB699" t="s">
        <v>74</v>
      </c>
      <c r="BC699" t="s">
        <v>74</v>
      </c>
      <c r="BD699" t="s">
        <v>5456</v>
      </c>
      <c r="BE699" t="s">
        <v>5457</v>
      </c>
      <c r="BF699" t="str">
        <f>HYPERLINK("http://dx.doi.org/10.21769/BioProtoc.4239","http://dx.doi.org/10.21769/BioProtoc.4239")</f>
        <v>http://dx.doi.org/10.21769/BioProtoc.4239</v>
      </c>
      <c r="BG699" t="s">
        <v>74</v>
      </c>
      <c r="BH699" t="s">
        <v>74</v>
      </c>
      <c r="BI699" t="s">
        <v>74</v>
      </c>
      <c r="BJ699" t="s">
        <v>5398</v>
      </c>
      <c r="BK699" t="s">
        <v>91</v>
      </c>
      <c r="BL699" t="s">
        <v>5399</v>
      </c>
      <c r="BM699" t="s">
        <v>74</v>
      </c>
      <c r="BN699">
        <v>35005084</v>
      </c>
      <c r="BO699" t="s">
        <v>74</v>
      </c>
      <c r="BP699" t="s">
        <v>74</v>
      </c>
      <c r="BQ699" t="s">
        <v>74</v>
      </c>
      <c r="BR699" t="s">
        <v>93</v>
      </c>
      <c r="BS699" t="s">
        <v>5458</v>
      </c>
      <c r="BT699" t="str">
        <f>HYPERLINK("https%3A%2F%2Fwww.webofscience.com%2Fwos%2Fwoscc%2Ffull-record%2FWOS:000729206600013","View Full Record in Web of Science")</f>
        <v>View Full Record in Web of Science</v>
      </c>
    </row>
    <row r="700" spans="1:72" x14ac:dyDescent="0.15">
      <c r="A700" t="s">
        <v>72</v>
      </c>
      <c r="B700" t="s">
        <v>5789</v>
      </c>
      <c r="C700" t="s">
        <v>74</v>
      </c>
      <c r="D700" t="s">
        <v>74</v>
      </c>
      <c r="E700" t="s">
        <v>74</v>
      </c>
      <c r="F700" t="s">
        <v>5790</v>
      </c>
      <c r="G700" t="s">
        <v>74</v>
      </c>
      <c r="H700" t="s">
        <v>74</v>
      </c>
      <c r="I700" t="s">
        <v>5791</v>
      </c>
      <c r="J700" t="s">
        <v>5792</v>
      </c>
      <c r="K700" t="s">
        <v>74</v>
      </c>
      <c r="L700" t="s">
        <v>74</v>
      </c>
      <c r="M700" t="s">
        <v>74</v>
      </c>
      <c r="N700" t="s">
        <v>78</v>
      </c>
      <c r="O700" t="s">
        <v>74</v>
      </c>
      <c r="P700" t="s">
        <v>74</v>
      </c>
      <c r="Q700" t="s">
        <v>74</v>
      </c>
      <c r="R700" t="s">
        <v>74</v>
      </c>
      <c r="S700" t="s">
        <v>74</v>
      </c>
      <c r="T700" t="s">
        <v>5793</v>
      </c>
      <c r="U700" t="s">
        <v>5794</v>
      </c>
      <c r="V700" t="s">
        <v>5795</v>
      </c>
      <c r="W700" t="s">
        <v>5796</v>
      </c>
      <c r="X700" t="s">
        <v>5797</v>
      </c>
      <c r="Y700" t="s">
        <v>5798</v>
      </c>
      <c r="Z700" t="s">
        <v>5799</v>
      </c>
      <c r="AA700" t="s">
        <v>5800</v>
      </c>
      <c r="AB700" t="s">
        <v>5801</v>
      </c>
      <c r="AC700" t="s">
        <v>74</v>
      </c>
      <c r="AD700" t="s">
        <v>74</v>
      </c>
      <c r="AE700" t="s">
        <v>74</v>
      </c>
      <c r="AF700" t="s">
        <v>74</v>
      </c>
      <c r="AG700">
        <v>36</v>
      </c>
      <c r="AH700">
        <v>0</v>
      </c>
      <c r="AI700">
        <v>0</v>
      </c>
      <c r="AJ700">
        <v>4</v>
      </c>
      <c r="AK700">
        <v>5</v>
      </c>
      <c r="AL700" t="s">
        <v>74</v>
      </c>
      <c r="AM700" t="s">
        <v>74</v>
      </c>
      <c r="AN700" t="s">
        <v>74</v>
      </c>
      <c r="AO700" t="s">
        <v>5802</v>
      </c>
      <c r="AP700" t="s">
        <v>5803</v>
      </c>
      <c r="AQ700" t="s">
        <v>74</v>
      </c>
      <c r="AR700" t="s">
        <v>74</v>
      </c>
      <c r="AS700" t="s">
        <v>74</v>
      </c>
      <c r="AT700" t="s">
        <v>108</v>
      </c>
      <c r="AU700">
        <v>2021</v>
      </c>
      <c r="AV700">
        <v>143</v>
      </c>
      <c r="AW700" t="s">
        <v>74</v>
      </c>
      <c r="AX700" t="s">
        <v>74</v>
      </c>
      <c r="AY700" t="s">
        <v>74</v>
      </c>
      <c r="AZ700" t="s">
        <v>74</v>
      </c>
      <c r="BA700" t="s">
        <v>74</v>
      </c>
      <c r="BB700" t="s">
        <v>74</v>
      </c>
      <c r="BC700" t="s">
        <v>74</v>
      </c>
      <c r="BD700">
        <v>111119</v>
      </c>
      <c r="BE700" t="s">
        <v>5804</v>
      </c>
      <c r="BF700" t="str">
        <f>HYPERLINK("http://dx.doi.org/10.1016/j.exger.2020.111119","http://dx.doi.org/10.1016/j.exger.2020.111119")</f>
        <v>http://dx.doi.org/10.1016/j.exger.2020.111119</v>
      </c>
      <c r="BG700" t="s">
        <v>74</v>
      </c>
      <c r="BH700" t="s">
        <v>74</v>
      </c>
      <c r="BI700" t="s">
        <v>74</v>
      </c>
      <c r="BJ700" t="s">
        <v>5805</v>
      </c>
      <c r="BK700" t="s">
        <v>112</v>
      </c>
      <c r="BL700" t="s">
        <v>5805</v>
      </c>
      <c r="BM700" t="s">
        <v>74</v>
      </c>
      <c r="BN700">
        <v>33086079</v>
      </c>
      <c r="BO700" t="s">
        <v>74</v>
      </c>
      <c r="BP700" t="s">
        <v>74</v>
      </c>
      <c r="BQ700" t="s">
        <v>74</v>
      </c>
      <c r="BR700" t="s">
        <v>93</v>
      </c>
      <c r="BS700" t="s">
        <v>5806</v>
      </c>
      <c r="BT700" t="str">
        <f>HYPERLINK("https%3A%2F%2Fwww.webofscience.com%2Fwos%2Fwoscc%2Ffull-record%2FWOS:000614809000014","View Full Record in Web of Science")</f>
        <v>View Full Record in Web of Science</v>
      </c>
    </row>
    <row r="701" spans="1:72" x14ac:dyDescent="0.15">
      <c r="A701" t="s">
        <v>72</v>
      </c>
      <c r="B701" t="s">
        <v>5807</v>
      </c>
      <c r="C701" t="s">
        <v>74</v>
      </c>
      <c r="D701" t="s">
        <v>74</v>
      </c>
      <c r="E701" t="s">
        <v>74</v>
      </c>
      <c r="F701" t="s">
        <v>5808</v>
      </c>
      <c r="G701" t="s">
        <v>74</v>
      </c>
      <c r="H701" t="s">
        <v>74</v>
      </c>
      <c r="I701" t="s">
        <v>5809</v>
      </c>
      <c r="J701" t="s">
        <v>5810</v>
      </c>
      <c r="K701" t="s">
        <v>74</v>
      </c>
      <c r="L701" t="s">
        <v>74</v>
      </c>
      <c r="M701" t="s">
        <v>74</v>
      </c>
      <c r="N701" t="s">
        <v>78</v>
      </c>
      <c r="O701" t="s">
        <v>74</v>
      </c>
      <c r="P701" t="s">
        <v>74</v>
      </c>
      <c r="Q701" t="s">
        <v>74</v>
      </c>
      <c r="R701" t="s">
        <v>74</v>
      </c>
      <c r="S701" t="s">
        <v>74</v>
      </c>
      <c r="T701" t="s">
        <v>5811</v>
      </c>
      <c r="U701" t="s">
        <v>5812</v>
      </c>
      <c r="V701" t="s">
        <v>5813</v>
      </c>
      <c r="W701" t="s">
        <v>5814</v>
      </c>
      <c r="X701" t="s">
        <v>5815</v>
      </c>
      <c r="Y701" t="s">
        <v>5816</v>
      </c>
      <c r="Z701" t="s">
        <v>5817</v>
      </c>
      <c r="AA701" t="s">
        <v>74</v>
      </c>
      <c r="AB701" t="s">
        <v>74</v>
      </c>
      <c r="AC701" t="s">
        <v>74</v>
      </c>
      <c r="AD701" t="s">
        <v>74</v>
      </c>
      <c r="AE701" t="s">
        <v>74</v>
      </c>
      <c r="AF701" t="s">
        <v>74</v>
      </c>
      <c r="AG701">
        <v>35</v>
      </c>
      <c r="AH701">
        <v>0</v>
      </c>
      <c r="AI701">
        <v>0</v>
      </c>
      <c r="AJ701">
        <v>2</v>
      </c>
      <c r="AK701">
        <v>3</v>
      </c>
      <c r="AL701" t="s">
        <v>74</v>
      </c>
      <c r="AM701" t="s">
        <v>74</v>
      </c>
      <c r="AN701" t="s">
        <v>74</v>
      </c>
      <c r="AO701" t="s">
        <v>5818</v>
      </c>
      <c r="AP701" t="s">
        <v>74</v>
      </c>
      <c r="AQ701" t="s">
        <v>74</v>
      </c>
      <c r="AR701" t="s">
        <v>74</v>
      </c>
      <c r="AS701" t="s">
        <v>74</v>
      </c>
      <c r="AT701" t="s">
        <v>74</v>
      </c>
      <c r="AU701">
        <v>2021</v>
      </c>
      <c r="AV701">
        <v>14</v>
      </c>
      <c r="AW701" t="s">
        <v>74</v>
      </c>
      <c r="AX701" t="s">
        <v>74</v>
      </c>
      <c r="AY701" t="s">
        <v>74</v>
      </c>
      <c r="AZ701" t="s">
        <v>74</v>
      </c>
      <c r="BA701" t="s">
        <v>74</v>
      </c>
      <c r="BB701">
        <v>4931</v>
      </c>
      <c r="BC701">
        <v>4948</v>
      </c>
      <c r="BD701" t="s">
        <v>74</v>
      </c>
      <c r="BE701" t="s">
        <v>5819</v>
      </c>
      <c r="BF701" t="str">
        <f>HYPERLINK("http://dx.doi.org/10.2147/IDR.S338321","http://dx.doi.org/10.2147/IDR.S338321")</f>
        <v>http://dx.doi.org/10.2147/IDR.S338321</v>
      </c>
      <c r="BG701" t="s">
        <v>74</v>
      </c>
      <c r="BH701" t="s">
        <v>74</v>
      </c>
      <c r="BI701" t="s">
        <v>74</v>
      </c>
      <c r="BJ701" t="s">
        <v>5820</v>
      </c>
      <c r="BK701" t="s">
        <v>112</v>
      </c>
      <c r="BL701" t="s">
        <v>5820</v>
      </c>
      <c r="BM701" t="s">
        <v>74</v>
      </c>
      <c r="BN701">
        <v>34858034</v>
      </c>
      <c r="BO701" t="s">
        <v>74</v>
      </c>
      <c r="BP701" t="s">
        <v>74</v>
      </c>
      <c r="BQ701" t="s">
        <v>74</v>
      </c>
      <c r="BR701" t="s">
        <v>93</v>
      </c>
      <c r="BS701" t="s">
        <v>5821</v>
      </c>
      <c r="BT701" t="str">
        <f>HYPERLINK("https%3A%2F%2Fwww.webofscience.com%2Fwos%2Fwoscc%2Ffull-record%2FWOS:000723247800001","View Full Record in Web of Science")</f>
        <v>View Full Record in Web of Science</v>
      </c>
    </row>
    <row r="702" spans="1:72" x14ac:dyDescent="0.15">
      <c r="A702" t="s">
        <v>72</v>
      </c>
      <c r="B702" t="s">
        <v>6020</v>
      </c>
      <c r="C702" t="s">
        <v>74</v>
      </c>
      <c r="D702" t="s">
        <v>74</v>
      </c>
      <c r="E702" t="s">
        <v>74</v>
      </c>
      <c r="F702" t="s">
        <v>6021</v>
      </c>
      <c r="G702" t="s">
        <v>74</v>
      </c>
      <c r="H702" t="s">
        <v>74</v>
      </c>
      <c r="I702" t="s">
        <v>6022</v>
      </c>
      <c r="J702" t="s">
        <v>6023</v>
      </c>
      <c r="K702" t="s">
        <v>74</v>
      </c>
      <c r="L702" t="s">
        <v>74</v>
      </c>
      <c r="M702" t="s">
        <v>74</v>
      </c>
      <c r="N702" t="s">
        <v>78</v>
      </c>
      <c r="O702" t="s">
        <v>74</v>
      </c>
      <c r="P702" t="s">
        <v>74</v>
      </c>
      <c r="Q702" t="s">
        <v>74</v>
      </c>
      <c r="R702" t="s">
        <v>74</v>
      </c>
      <c r="S702" t="s">
        <v>74</v>
      </c>
      <c r="T702" t="s">
        <v>74</v>
      </c>
      <c r="U702" t="s">
        <v>6024</v>
      </c>
      <c r="V702" t="s">
        <v>6025</v>
      </c>
      <c r="W702" t="s">
        <v>6026</v>
      </c>
      <c r="X702" t="s">
        <v>6027</v>
      </c>
      <c r="Y702" t="s">
        <v>6028</v>
      </c>
      <c r="Z702" t="s">
        <v>6029</v>
      </c>
      <c r="AA702" t="s">
        <v>74</v>
      </c>
      <c r="AB702" t="s">
        <v>6030</v>
      </c>
      <c r="AC702" t="s">
        <v>74</v>
      </c>
      <c r="AD702" t="s">
        <v>74</v>
      </c>
      <c r="AE702" t="s">
        <v>74</v>
      </c>
      <c r="AF702" t="s">
        <v>74</v>
      </c>
      <c r="AG702">
        <v>53</v>
      </c>
      <c r="AH702">
        <v>0</v>
      </c>
      <c r="AI702">
        <v>0</v>
      </c>
      <c r="AJ702">
        <v>2</v>
      </c>
      <c r="AK702">
        <v>3</v>
      </c>
      <c r="AL702" t="s">
        <v>74</v>
      </c>
      <c r="AM702" t="s">
        <v>74</v>
      </c>
      <c r="AN702" t="s">
        <v>74</v>
      </c>
      <c r="AO702" t="s">
        <v>6031</v>
      </c>
      <c r="AP702" t="s">
        <v>6032</v>
      </c>
      <c r="AQ702" t="s">
        <v>74</v>
      </c>
      <c r="AR702" t="s">
        <v>74</v>
      </c>
      <c r="AS702" t="s">
        <v>74</v>
      </c>
      <c r="AT702" t="s">
        <v>503</v>
      </c>
      <c r="AU702">
        <v>2021</v>
      </c>
      <c r="AV702">
        <v>25</v>
      </c>
      <c r="AW702">
        <v>4</v>
      </c>
      <c r="AX702" t="s">
        <v>74</v>
      </c>
      <c r="AY702" t="s">
        <v>74</v>
      </c>
      <c r="AZ702" t="s">
        <v>74</v>
      </c>
      <c r="BA702" t="s">
        <v>74</v>
      </c>
      <c r="BB702">
        <v>505</v>
      </c>
      <c r="BC702">
        <v>515</v>
      </c>
      <c r="BD702" t="s">
        <v>74</v>
      </c>
      <c r="BE702" t="s">
        <v>6033</v>
      </c>
      <c r="BF702" t="str">
        <f>HYPERLINK("http://dx.doi.org/10.1007/s40291-021-00538-2","http://dx.doi.org/10.1007/s40291-021-00538-2")</f>
        <v>http://dx.doi.org/10.1007/s40291-021-00538-2</v>
      </c>
      <c r="BG702" t="s">
        <v>74</v>
      </c>
      <c r="BH702" t="s">
        <v>2752</v>
      </c>
      <c r="BI702" t="s">
        <v>74</v>
      </c>
      <c r="BJ702" t="s">
        <v>6034</v>
      </c>
      <c r="BK702" t="s">
        <v>112</v>
      </c>
      <c r="BL702" t="s">
        <v>6034</v>
      </c>
      <c r="BM702" t="s">
        <v>74</v>
      </c>
      <c r="BN702">
        <v>34080172</v>
      </c>
      <c r="BO702" t="s">
        <v>74</v>
      </c>
      <c r="BP702" t="s">
        <v>74</v>
      </c>
      <c r="BQ702" t="s">
        <v>74</v>
      </c>
      <c r="BR702" t="s">
        <v>93</v>
      </c>
      <c r="BS702" t="s">
        <v>6035</v>
      </c>
      <c r="BT702" t="str">
        <f>HYPERLINK("https%3A%2F%2Fwww.webofscience.com%2Fwos%2Fwoscc%2Ffull-record%2FWOS:000657214600001","View Full Record in Web of Science")</f>
        <v>View Full Record in Web of Science</v>
      </c>
    </row>
    <row r="703" spans="1:72" x14ac:dyDescent="0.15">
      <c r="A703" t="s">
        <v>72</v>
      </c>
      <c r="B703" t="s">
        <v>6152</v>
      </c>
      <c r="C703" t="s">
        <v>74</v>
      </c>
      <c r="D703" t="s">
        <v>74</v>
      </c>
      <c r="E703" t="s">
        <v>74</v>
      </c>
      <c r="F703" t="s">
        <v>6153</v>
      </c>
      <c r="G703" t="s">
        <v>74</v>
      </c>
      <c r="H703" t="s">
        <v>74</v>
      </c>
      <c r="I703" t="s">
        <v>6154</v>
      </c>
      <c r="J703" t="s">
        <v>6155</v>
      </c>
      <c r="K703" t="s">
        <v>74</v>
      </c>
      <c r="L703" t="s">
        <v>74</v>
      </c>
      <c r="M703" t="s">
        <v>74</v>
      </c>
      <c r="N703" t="s">
        <v>78</v>
      </c>
      <c r="O703" t="s">
        <v>74</v>
      </c>
      <c r="P703" t="s">
        <v>74</v>
      </c>
      <c r="Q703" t="s">
        <v>74</v>
      </c>
      <c r="R703" t="s">
        <v>74</v>
      </c>
      <c r="S703" t="s">
        <v>74</v>
      </c>
      <c r="T703" t="s">
        <v>6156</v>
      </c>
      <c r="U703" t="s">
        <v>6157</v>
      </c>
      <c r="V703" t="s">
        <v>6158</v>
      </c>
      <c r="W703" t="s">
        <v>6159</v>
      </c>
      <c r="X703" t="s">
        <v>6160</v>
      </c>
      <c r="Y703" t="s">
        <v>6161</v>
      </c>
      <c r="Z703" t="s">
        <v>6162</v>
      </c>
      <c r="AA703" t="s">
        <v>74</v>
      </c>
      <c r="AB703" t="s">
        <v>74</v>
      </c>
      <c r="AC703" t="s">
        <v>74</v>
      </c>
      <c r="AD703" t="s">
        <v>74</v>
      </c>
      <c r="AE703" t="s">
        <v>74</v>
      </c>
      <c r="AF703" t="s">
        <v>74</v>
      </c>
      <c r="AG703">
        <v>49</v>
      </c>
      <c r="AH703">
        <v>0</v>
      </c>
      <c r="AI703">
        <v>0</v>
      </c>
      <c r="AJ703">
        <v>3</v>
      </c>
      <c r="AK703">
        <v>3</v>
      </c>
      <c r="AL703" t="s">
        <v>74</v>
      </c>
      <c r="AM703" t="s">
        <v>74</v>
      </c>
      <c r="AN703" t="s">
        <v>74</v>
      </c>
      <c r="AO703" t="s">
        <v>6163</v>
      </c>
      <c r="AP703" t="s">
        <v>74</v>
      </c>
      <c r="AQ703" t="s">
        <v>74</v>
      </c>
      <c r="AR703" t="s">
        <v>74</v>
      </c>
      <c r="AS703" t="s">
        <v>74</v>
      </c>
      <c r="AT703" t="s">
        <v>6164</v>
      </c>
      <c r="AU703">
        <v>2022</v>
      </c>
      <c r="AV703">
        <v>22</v>
      </c>
      <c r="AW703">
        <v>1</v>
      </c>
      <c r="AX703" t="s">
        <v>74</v>
      </c>
      <c r="AY703" t="s">
        <v>74</v>
      </c>
      <c r="AZ703" t="s">
        <v>74</v>
      </c>
      <c r="BA703" t="s">
        <v>74</v>
      </c>
      <c r="BB703" t="s">
        <v>74</v>
      </c>
      <c r="BC703" t="s">
        <v>74</v>
      </c>
      <c r="BD703">
        <v>24</v>
      </c>
      <c r="BE703" t="s">
        <v>6165</v>
      </c>
      <c r="BF703" t="str">
        <f>HYPERLINK("http://dx.doi.org/10.1186/s12903-021-02036-7","http://dx.doi.org/10.1186/s12903-021-02036-7")</f>
        <v>http://dx.doi.org/10.1186/s12903-021-02036-7</v>
      </c>
      <c r="BG703" t="s">
        <v>74</v>
      </c>
      <c r="BH703" t="s">
        <v>74</v>
      </c>
      <c r="BI703" t="s">
        <v>74</v>
      </c>
      <c r="BJ703" t="s">
        <v>5645</v>
      </c>
      <c r="BK703" t="s">
        <v>112</v>
      </c>
      <c r="BL703" t="s">
        <v>5645</v>
      </c>
      <c r="BM703" t="s">
        <v>74</v>
      </c>
      <c r="BN703">
        <v>35094679</v>
      </c>
      <c r="BO703" t="s">
        <v>74</v>
      </c>
      <c r="BP703" t="s">
        <v>74</v>
      </c>
      <c r="BQ703" t="s">
        <v>74</v>
      </c>
      <c r="BR703" t="s">
        <v>93</v>
      </c>
      <c r="BS703" t="s">
        <v>6166</v>
      </c>
      <c r="BT703" t="str">
        <f>HYPERLINK("https%3A%2F%2Fwww.webofscience.com%2Fwos%2Fwoscc%2Ffull-record%2FWOS:000748416000001","View Full Record in Web of Science")</f>
        <v>View Full Record in Web of Science</v>
      </c>
    </row>
    <row r="704" spans="1:72" x14ac:dyDescent="0.15">
      <c r="A704" t="s">
        <v>72</v>
      </c>
      <c r="B704" t="s">
        <v>6238</v>
      </c>
      <c r="C704" t="s">
        <v>74</v>
      </c>
      <c r="D704" t="s">
        <v>74</v>
      </c>
      <c r="E704" t="s">
        <v>74</v>
      </c>
      <c r="F704" t="s">
        <v>6239</v>
      </c>
      <c r="G704" t="s">
        <v>74</v>
      </c>
      <c r="H704" t="s">
        <v>74</v>
      </c>
      <c r="I704" t="s">
        <v>6240</v>
      </c>
      <c r="J704" t="s">
        <v>667</v>
      </c>
      <c r="K704" t="s">
        <v>74</v>
      </c>
      <c r="L704" t="s">
        <v>74</v>
      </c>
      <c r="M704" t="s">
        <v>74</v>
      </c>
      <c r="N704" t="s">
        <v>78</v>
      </c>
      <c r="O704" t="s">
        <v>74</v>
      </c>
      <c r="P704" t="s">
        <v>74</v>
      </c>
      <c r="Q704" t="s">
        <v>74</v>
      </c>
      <c r="R704" t="s">
        <v>74</v>
      </c>
      <c r="S704" t="s">
        <v>74</v>
      </c>
      <c r="T704" t="s">
        <v>6241</v>
      </c>
      <c r="U704" t="s">
        <v>6242</v>
      </c>
      <c r="V704" t="s">
        <v>6243</v>
      </c>
      <c r="W704" t="s">
        <v>6244</v>
      </c>
      <c r="X704" t="s">
        <v>6245</v>
      </c>
      <c r="Y704" t="s">
        <v>6246</v>
      </c>
      <c r="Z704" t="s">
        <v>6247</v>
      </c>
      <c r="AA704" t="s">
        <v>6248</v>
      </c>
      <c r="AB704" t="s">
        <v>6249</v>
      </c>
      <c r="AC704" t="s">
        <v>74</v>
      </c>
      <c r="AD704" t="s">
        <v>74</v>
      </c>
      <c r="AE704" t="s">
        <v>74</v>
      </c>
      <c r="AF704" t="s">
        <v>74</v>
      </c>
      <c r="AG704">
        <v>90</v>
      </c>
      <c r="AH704">
        <v>0</v>
      </c>
      <c r="AI704">
        <v>0</v>
      </c>
      <c r="AJ704">
        <v>1</v>
      </c>
      <c r="AK704">
        <v>1</v>
      </c>
      <c r="AL704" t="s">
        <v>74</v>
      </c>
      <c r="AM704" t="s">
        <v>74</v>
      </c>
      <c r="AN704" t="s">
        <v>74</v>
      </c>
      <c r="AO704" t="s">
        <v>74</v>
      </c>
      <c r="AP704" t="s">
        <v>677</v>
      </c>
      <c r="AQ704" t="s">
        <v>74</v>
      </c>
      <c r="AR704" t="s">
        <v>74</v>
      </c>
      <c r="AS704" t="s">
        <v>74</v>
      </c>
      <c r="AT704" t="s">
        <v>88</v>
      </c>
      <c r="AU704">
        <v>2022</v>
      </c>
      <c r="AV704">
        <v>23</v>
      </c>
      <c r="AW704">
        <v>11</v>
      </c>
      <c r="AX704" t="s">
        <v>74</v>
      </c>
      <c r="AY704" t="s">
        <v>74</v>
      </c>
      <c r="AZ704" t="s">
        <v>74</v>
      </c>
      <c r="BA704" t="s">
        <v>74</v>
      </c>
      <c r="BB704" t="s">
        <v>74</v>
      </c>
      <c r="BC704" t="s">
        <v>74</v>
      </c>
      <c r="BD704">
        <v>5913</v>
      </c>
      <c r="BE704" t="s">
        <v>6250</v>
      </c>
      <c r="BF704" t="str">
        <f>HYPERLINK("http://dx.doi.org/10.3390/ijms23115913","http://dx.doi.org/10.3390/ijms23115913")</f>
        <v>http://dx.doi.org/10.3390/ijms23115913</v>
      </c>
      <c r="BG704" t="s">
        <v>74</v>
      </c>
      <c r="BH704" t="s">
        <v>74</v>
      </c>
      <c r="BI704" t="s">
        <v>74</v>
      </c>
      <c r="BJ704" t="s">
        <v>680</v>
      </c>
      <c r="BK704" t="s">
        <v>112</v>
      </c>
      <c r="BL704" t="s">
        <v>681</v>
      </c>
      <c r="BM704" t="s">
        <v>74</v>
      </c>
      <c r="BN704">
        <v>35682592</v>
      </c>
      <c r="BO704" t="s">
        <v>74</v>
      </c>
      <c r="BP704" t="s">
        <v>74</v>
      </c>
      <c r="BQ704" t="s">
        <v>74</v>
      </c>
      <c r="BR704" t="s">
        <v>93</v>
      </c>
      <c r="BS704" t="s">
        <v>6251</v>
      </c>
      <c r="BT704" t="str">
        <f>HYPERLINK("https%3A%2F%2Fwww.webofscience.com%2Fwos%2Fwoscc%2Ffull-record%2FWOS:000809878500001","View Full Record in Web of Science")</f>
        <v>View Full Record in Web of Science</v>
      </c>
    </row>
    <row r="705" spans="1:72" x14ac:dyDescent="0.15">
      <c r="A705" t="s">
        <v>72</v>
      </c>
      <c r="B705" t="s">
        <v>6481</v>
      </c>
      <c r="C705" t="s">
        <v>74</v>
      </c>
      <c r="D705" t="s">
        <v>74</v>
      </c>
      <c r="E705" t="s">
        <v>74</v>
      </c>
      <c r="F705" t="s">
        <v>6482</v>
      </c>
      <c r="G705" t="s">
        <v>74</v>
      </c>
      <c r="H705" t="s">
        <v>74</v>
      </c>
      <c r="I705" t="s">
        <v>6483</v>
      </c>
      <c r="J705" t="s">
        <v>6484</v>
      </c>
      <c r="K705" t="s">
        <v>74</v>
      </c>
      <c r="L705" t="s">
        <v>74</v>
      </c>
      <c r="M705" t="s">
        <v>74</v>
      </c>
      <c r="N705" t="s">
        <v>78</v>
      </c>
      <c r="O705" t="s">
        <v>74</v>
      </c>
      <c r="P705" t="s">
        <v>74</v>
      </c>
      <c r="Q705" t="s">
        <v>74</v>
      </c>
      <c r="R705" t="s">
        <v>74</v>
      </c>
      <c r="S705" t="s">
        <v>74</v>
      </c>
      <c r="T705" t="s">
        <v>6485</v>
      </c>
      <c r="U705" t="s">
        <v>6486</v>
      </c>
      <c r="V705" t="s">
        <v>6487</v>
      </c>
      <c r="W705" t="s">
        <v>6488</v>
      </c>
      <c r="X705" t="s">
        <v>6489</v>
      </c>
      <c r="Y705" t="s">
        <v>6490</v>
      </c>
      <c r="Z705" t="s">
        <v>6491</v>
      </c>
      <c r="AA705" t="s">
        <v>74</v>
      </c>
      <c r="AB705" t="s">
        <v>74</v>
      </c>
      <c r="AC705" t="s">
        <v>74</v>
      </c>
      <c r="AD705" t="s">
        <v>74</v>
      </c>
      <c r="AE705" t="s">
        <v>74</v>
      </c>
      <c r="AF705" t="s">
        <v>74</v>
      </c>
      <c r="AG705">
        <v>40</v>
      </c>
      <c r="AH705">
        <v>0</v>
      </c>
      <c r="AI705">
        <v>0</v>
      </c>
      <c r="AJ705">
        <v>5</v>
      </c>
      <c r="AK705">
        <v>5</v>
      </c>
      <c r="AL705" t="s">
        <v>74</v>
      </c>
      <c r="AM705" t="s">
        <v>74</v>
      </c>
      <c r="AN705" t="s">
        <v>74</v>
      </c>
      <c r="AO705" t="s">
        <v>74</v>
      </c>
      <c r="AP705" t="s">
        <v>6492</v>
      </c>
      <c r="AQ705" t="s">
        <v>74</v>
      </c>
      <c r="AR705" t="s">
        <v>74</v>
      </c>
      <c r="AS705" t="s">
        <v>74</v>
      </c>
      <c r="AT705" t="s">
        <v>74</v>
      </c>
      <c r="AU705">
        <v>2022</v>
      </c>
      <c r="AV705">
        <v>11</v>
      </c>
      <c r="AW705">
        <v>4</v>
      </c>
      <c r="AX705" t="s">
        <v>74</v>
      </c>
      <c r="AY705" t="s">
        <v>74</v>
      </c>
      <c r="AZ705" t="s">
        <v>74</v>
      </c>
      <c r="BA705" t="s">
        <v>74</v>
      </c>
      <c r="BB705" t="s">
        <v>74</v>
      </c>
      <c r="BC705" t="s">
        <v>74</v>
      </c>
      <c r="BD705" t="s">
        <v>6493</v>
      </c>
      <c r="BE705" t="s">
        <v>6494</v>
      </c>
      <c r="BF705" t="str">
        <f>HYPERLINK("http://dx.doi.org/10.1002/cti2.1386","http://dx.doi.org/10.1002/cti2.1386")</f>
        <v>http://dx.doi.org/10.1002/cti2.1386</v>
      </c>
      <c r="BG705" t="s">
        <v>74</v>
      </c>
      <c r="BH705" t="s">
        <v>74</v>
      </c>
      <c r="BI705" t="s">
        <v>74</v>
      </c>
      <c r="BJ705" t="s">
        <v>2276</v>
      </c>
      <c r="BK705" t="s">
        <v>112</v>
      </c>
      <c r="BL705" t="s">
        <v>2276</v>
      </c>
      <c r="BM705" t="s">
        <v>74</v>
      </c>
      <c r="BN705">
        <v>35474906</v>
      </c>
      <c r="BO705" t="s">
        <v>74</v>
      </c>
      <c r="BP705" t="s">
        <v>74</v>
      </c>
      <c r="BQ705" t="s">
        <v>74</v>
      </c>
      <c r="BR705" t="s">
        <v>93</v>
      </c>
      <c r="BS705" t="s">
        <v>6495</v>
      </c>
      <c r="BT705" t="str">
        <f>HYPERLINK("https%3A%2F%2Fwww.webofscience.com%2Fwos%2Fwoscc%2Ffull-record%2FWOS:000784080300001","View Full Record in Web of Science")</f>
        <v>View Full Record in Web of Science</v>
      </c>
    </row>
    <row r="706" spans="1:72" x14ac:dyDescent="0.15">
      <c r="A706" t="s">
        <v>72</v>
      </c>
      <c r="B706" t="s">
        <v>6666</v>
      </c>
      <c r="C706" t="s">
        <v>74</v>
      </c>
      <c r="D706" t="s">
        <v>74</v>
      </c>
      <c r="E706" t="s">
        <v>74</v>
      </c>
      <c r="F706" t="s">
        <v>6667</v>
      </c>
      <c r="G706" t="s">
        <v>74</v>
      </c>
      <c r="H706" t="s">
        <v>74</v>
      </c>
      <c r="I706" t="s">
        <v>6668</v>
      </c>
      <c r="J706" t="s">
        <v>6669</v>
      </c>
      <c r="K706" t="s">
        <v>74</v>
      </c>
      <c r="L706" t="s">
        <v>74</v>
      </c>
      <c r="M706" t="s">
        <v>74</v>
      </c>
      <c r="N706" t="s">
        <v>78</v>
      </c>
      <c r="O706" t="s">
        <v>74</v>
      </c>
      <c r="P706" t="s">
        <v>74</v>
      </c>
      <c r="Q706" t="s">
        <v>74</v>
      </c>
      <c r="R706" t="s">
        <v>74</v>
      </c>
      <c r="S706" t="s">
        <v>74</v>
      </c>
      <c r="T706" t="s">
        <v>6670</v>
      </c>
      <c r="U706" t="s">
        <v>74</v>
      </c>
      <c r="V706" t="s">
        <v>6671</v>
      </c>
      <c r="W706" t="s">
        <v>6672</v>
      </c>
      <c r="X706" t="s">
        <v>6673</v>
      </c>
      <c r="Y706" t="s">
        <v>6674</v>
      </c>
      <c r="Z706" t="s">
        <v>6675</v>
      </c>
      <c r="AA706" t="s">
        <v>74</v>
      </c>
      <c r="AB706" t="s">
        <v>6676</v>
      </c>
      <c r="AC706" t="s">
        <v>74</v>
      </c>
      <c r="AD706" t="s">
        <v>74</v>
      </c>
      <c r="AE706" t="s">
        <v>74</v>
      </c>
      <c r="AF706" t="s">
        <v>74</v>
      </c>
      <c r="AG706">
        <v>30</v>
      </c>
      <c r="AH706">
        <v>0</v>
      </c>
      <c r="AI706">
        <v>0</v>
      </c>
      <c r="AJ706">
        <v>0</v>
      </c>
      <c r="AK706">
        <v>4</v>
      </c>
      <c r="AL706" t="s">
        <v>74</v>
      </c>
      <c r="AM706" t="s">
        <v>74</v>
      </c>
      <c r="AN706" t="s">
        <v>74</v>
      </c>
      <c r="AO706" t="s">
        <v>6677</v>
      </c>
      <c r="AP706" t="s">
        <v>6678</v>
      </c>
      <c r="AQ706" t="s">
        <v>74</v>
      </c>
      <c r="AR706" t="s">
        <v>74</v>
      </c>
      <c r="AS706" t="s">
        <v>74</v>
      </c>
      <c r="AT706" t="s">
        <v>1111</v>
      </c>
      <c r="AU706">
        <v>2021</v>
      </c>
      <c r="AV706">
        <v>27</v>
      </c>
      <c r="AW706">
        <v>5</v>
      </c>
      <c r="AX706" t="s">
        <v>74</v>
      </c>
      <c r="AY706" t="s">
        <v>74</v>
      </c>
      <c r="AZ706" t="s">
        <v>1075</v>
      </c>
      <c r="BA706" t="s">
        <v>74</v>
      </c>
      <c r="BB706">
        <v>458</v>
      </c>
      <c r="BC706">
        <v>463</v>
      </c>
      <c r="BD706" t="s">
        <v>74</v>
      </c>
      <c r="BE706" t="s">
        <v>6679</v>
      </c>
      <c r="BF706" t="str">
        <f>HYPERLINK("http://dx.doi.org/10.1007/s00761-021-00904-z","http://dx.doi.org/10.1007/s00761-021-00904-z")</f>
        <v>http://dx.doi.org/10.1007/s00761-021-00904-z</v>
      </c>
      <c r="BG706" t="s">
        <v>74</v>
      </c>
      <c r="BH706" t="s">
        <v>2200</v>
      </c>
      <c r="BI706" t="s">
        <v>74</v>
      </c>
      <c r="BJ706" t="s">
        <v>146</v>
      </c>
      <c r="BK706" t="s">
        <v>112</v>
      </c>
      <c r="BL706" t="s">
        <v>146</v>
      </c>
      <c r="BM706" t="s">
        <v>74</v>
      </c>
      <c r="BN706" t="s">
        <v>74</v>
      </c>
      <c r="BO706" t="s">
        <v>74</v>
      </c>
      <c r="BP706" t="s">
        <v>74</v>
      </c>
      <c r="BQ706" t="s">
        <v>74</v>
      </c>
      <c r="BR706" t="s">
        <v>93</v>
      </c>
      <c r="BS706" t="s">
        <v>6680</v>
      </c>
      <c r="BT706" t="str">
        <f>HYPERLINK("https%3A%2F%2Fwww.webofscience.com%2Fwos%2Fwoscc%2Ffull-record%2FWOS:000625040700006","View Full Record in Web of Science")</f>
        <v>View Full Record in Web of Science</v>
      </c>
    </row>
    <row r="707" spans="1:72" x14ac:dyDescent="0.15">
      <c r="A707" t="s">
        <v>72</v>
      </c>
      <c r="B707" t="s">
        <v>6735</v>
      </c>
      <c r="C707" t="s">
        <v>74</v>
      </c>
      <c r="D707" t="s">
        <v>74</v>
      </c>
      <c r="E707" t="s">
        <v>74</v>
      </c>
      <c r="F707" t="s">
        <v>6736</v>
      </c>
      <c r="G707" t="s">
        <v>74</v>
      </c>
      <c r="H707" t="s">
        <v>74</v>
      </c>
      <c r="I707" t="s">
        <v>6737</v>
      </c>
      <c r="J707" t="s">
        <v>1828</v>
      </c>
      <c r="K707" t="s">
        <v>74</v>
      </c>
      <c r="L707" t="s">
        <v>74</v>
      </c>
      <c r="M707" t="s">
        <v>74</v>
      </c>
      <c r="N707" t="s">
        <v>78</v>
      </c>
      <c r="O707" t="s">
        <v>74</v>
      </c>
      <c r="P707" t="s">
        <v>74</v>
      </c>
      <c r="Q707" t="s">
        <v>74</v>
      </c>
      <c r="R707" t="s">
        <v>74</v>
      </c>
      <c r="S707" t="s">
        <v>74</v>
      </c>
      <c r="T707" t="s">
        <v>74</v>
      </c>
      <c r="U707" t="s">
        <v>6738</v>
      </c>
      <c r="V707" t="s">
        <v>6739</v>
      </c>
      <c r="W707" t="s">
        <v>6740</v>
      </c>
      <c r="X707" t="s">
        <v>6741</v>
      </c>
      <c r="Y707" t="s">
        <v>6742</v>
      </c>
      <c r="Z707" t="s">
        <v>6743</v>
      </c>
      <c r="AA707" t="s">
        <v>74</v>
      </c>
      <c r="AB707" t="s">
        <v>6744</v>
      </c>
      <c r="AC707" t="s">
        <v>74</v>
      </c>
      <c r="AD707" t="s">
        <v>74</v>
      </c>
      <c r="AE707" t="s">
        <v>74</v>
      </c>
      <c r="AF707" t="s">
        <v>74</v>
      </c>
      <c r="AG707">
        <v>38</v>
      </c>
      <c r="AH707">
        <v>0</v>
      </c>
      <c r="AI707">
        <v>0</v>
      </c>
      <c r="AJ707">
        <v>1</v>
      </c>
      <c r="AK707">
        <v>1</v>
      </c>
      <c r="AL707" t="s">
        <v>74</v>
      </c>
      <c r="AM707" t="s">
        <v>74</v>
      </c>
      <c r="AN707" t="s">
        <v>74</v>
      </c>
      <c r="AO707" t="s">
        <v>1837</v>
      </c>
      <c r="AP707" t="s">
        <v>74</v>
      </c>
      <c r="AQ707" t="s">
        <v>74</v>
      </c>
      <c r="AR707" t="s">
        <v>74</v>
      </c>
      <c r="AS707" t="s">
        <v>74</v>
      </c>
      <c r="AT707" t="s">
        <v>6745</v>
      </c>
      <c r="AU707">
        <v>2022</v>
      </c>
      <c r="AV707">
        <v>12</v>
      </c>
      <c r="AW707">
        <v>1</v>
      </c>
      <c r="AX707" t="s">
        <v>74</v>
      </c>
      <c r="AY707" t="s">
        <v>74</v>
      </c>
      <c r="AZ707" t="s">
        <v>74</v>
      </c>
      <c r="BA707" t="s">
        <v>74</v>
      </c>
      <c r="BB707" t="s">
        <v>74</v>
      </c>
      <c r="BC707" t="s">
        <v>74</v>
      </c>
      <c r="BD707">
        <v>1229</v>
      </c>
      <c r="BE707" t="s">
        <v>6746</v>
      </c>
      <c r="BF707" t="str">
        <f>HYPERLINK("http://dx.doi.org/10.1038/s41598-022-05229-4","http://dx.doi.org/10.1038/s41598-022-05229-4")</f>
        <v>http://dx.doi.org/10.1038/s41598-022-05229-4</v>
      </c>
      <c r="BG707" t="s">
        <v>74</v>
      </c>
      <c r="BH707" t="s">
        <v>74</v>
      </c>
      <c r="BI707" t="s">
        <v>74</v>
      </c>
      <c r="BJ707" t="s">
        <v>545</v>
      </c>
      <c r="BK707" t="s">
        <v>112</v>
      </c>
      <c r="BL707" t="s">
        <v>546</v>
      </c>
      <c r="BM707" t="s">
        <v>74</v>
      </c>
      <c r="BN707">
        <v>35075190</v>
      </c>
      <c r="BO707" t="s">
        <v>74</v>
      </c>
      <c r="BP707" t="s">
        <v>74</v>
      </c>
      <c r="BQ707" t="s">
        <v>74</v>
      </c>
      <c r="BR707" t="s">
        <v>93</v>
      </c>
      <c r="BS707" t="s">
        <v>6747</v>
      </c>
      <c r="BT707" t="str">
        <f>HYPERLINK("https%3A%2F%2Fwww.webofscience.com%2Fwos%2Fwoscc%2Ffull-record%2FWOS:000746700700043","View Full Record in Web of Science")</f>
        <v>View Full Record in Web of Science</v>
      </c>
    </row>
    <row r="708" spans="1:72" x14ac:dyDescent="0.15">
      <c r="A708" t="s">
        <v>72</v>
      </c>
      <c r="B708" t="s">
        <v>6982</v>
      </c>
      <c r="C708" t="s">
        <v>74</v>
      </c>
      <c r="D708" t="s">
        <v>74</v>
      </c>
      <c r="E708" t="s">
        <v>74</v>
      </c>
      <c r="F708" t="s">
        <v>6983</v>
      </c>
      <c r="G708" t="s">
        <v>74</v>
      </c>
      <c r="H708" t="s">
        <v>74</v>
      </c>
      <c r="I708" t="s">
        <v>6984</v>
      </c>
      <c r="J708" t="s">
        <v>6985</v>
      </c>
      <c r="K708" t="s">
        <v>74</v>
      </c>
      <c r="L708" t="s">
        <v>74</v>
      </c>
      <c r="M708" t="s">
        <v>74</v>
      </c>
      <c r="N708" t="s">
        <v>78</v>
      </c>
      <c r="O708" t="s">
        <v>74</v>
      </c>
      <c r="P708" t="s">
        <v>74</v>
      </c>
      <c r="Q708" t="s">
        <v>74</v>
      </c>
      <c r="R708" t="s">
        <v>74</v>
      </c>
      <c r="S708" t="s">
        <v>74</v>
      </c>
      <c r="T708" t="s">
        <v>6986</v>
      </c>
      <c r="U708" t="s">
        <v>6987</v>
      </c>
      <c r="V708" t="s">
        <v>6988</v>
      </c>
      <c r="W708" t="s">
        <v>6989</v>
      </c>
      <c r="X708" t="s">
        <v>6990</v>
      </c>
      <c r="Y708" t="s">
        <v>6991</v>
      </c>
      <c r="Z708" t="s">
        <v>6992</v>
      </c>
      <c r="AA708" t="s">
        <v>74</v>
      </c>
      <c r="AB708" t="s">
        <v>74</v>
      </c>
      <c r="AC708" t="s">
        <v>74</v>
      </c>
      <c r="AD708" t="s">
        <v>74</v>
      </c>
      <c r="AE708" t="s">
        <v>74</v>
      </c>
      <c r="AF708" t="s">
        <v>74</v>
      </c>
      <c r="AG708">
        <v>45</v>
      </c>
      <c r="AH708">
        <v>0</v>
      </c>
      <c r="AI708">
        <v>0</v>
      </c>
      <c r="AJ708">
        <v>3</v>
      </c>
      <c r="AK708">
        <v>3</v>
      </c>
      <c r="AL708" t="s">
        <v>74</v>
      </c>
      <c r="AM708" t="s">
        <v>74</v>
      </c>
      <c r="AN708" t="s">
        <v>74</v>
      </c>
      <c r="AO708" t="s">
        <v>6993</v>
      </c>
      <c r="AP708" t="s">
        <v>6994</v>
      </c>
      <c r="AQ708" t="s">
        <v>74</v>
      </c>
      <c r="AR708" t="s">
        <v>74</v>
      </c>
      <c r="AS708" t="s">
        <v>74</v>
      </c>
      <c r="AT708" t="s">
        <v>129</v>
      </c>
      <c r="AU708">
        <v>2022</v>
      </c>
      <c r="AV708">
        <v>59</v>
      </c>
      <c r="AW708">
        <v>4</v>
      </c>
      <c r="AX708" t="s">
        <v>74</v>
      </c>
      <c r="AY708" t="s">
        <v>74</v>
      </c>
      <c r="AZ708" t="s">
        <v>74</v>
      </c>
      <c r="BA708" t="s">
        <v>74</v>
      </c>
      <c r="BB708">
        <v>2520</v>
      </c>
      <c r="BC708">
        <v>2531</v>
      </c>
      <c r="BD708" t="s">
        <v>74</v>
      </c>
      <c r="BE708" t="s">
        <v>6995</v>
      </c>
      <c r="BF708" t="str">
        <f>HYPERLINK("http://dx.doi.org/10.1007/s12035-021-02714-1","http://dx.doi.org/10.1007/s12035-021-02714-1")</f>
        <v>http://dx.doi.org/10.1007/s12035-021-02714-1</v>
      </c>
      <c r="BG708" t="s">
        <v>74</v>
      </c>
      <c r="BH708" t="s">
        <v>3173</v>
      </c>
      <c r="BI708" t="s">
        <v>74</v>
      </c>
      <c r="BJ708" t="s">
        <v>2753</v>
      </c>
      <c r="BK708" t="s">
        <v>112</v>
      </c>
      <c r="BL708" t="s">
        <v>2407</v>
      </c>
      <c r="BM708" t="s">
        <v>74</v>
      </c>
      <c r="BN708">
        <v>35092573</v>
      </c>
      <c r="BO708" t="s">
        <v>74</v>
      </c>
      <c r="BP708" t="s">
        <v>74</v>
      </c>
      <c r="BQ708" t="s">
        <v>74</v>
      </c>
      <c r="BR708" t="s">
        <v>93</v>
      </c>
      <c r="BS708" t="s">
        <v>6996</v>
      </c>
      <c r="BT708" t="str">
        <f>HYPERLINK("https%3A%2F%2Fwww.webofscience.com%2Fwos%2Fwoscc%2Ffull-record%2FWOS:000749152400001","View Full Record in Web of Science")</f>
        <v>View Full Record in Web of Science</v>
      </c>
    </row>
    <row r="709" spans="1:72" x14ac:dyDescent="0.15">
      <c r="A709" t="s">
        <v>72</v>
      </c>
      <c r="B709" t="s">
        <v>7130</v>
      </c>
      <c r="C709" t="s">
        <v>74</v>
      </c>
      <c r="D709" t="s">
        <v>74</v>
      </c>
      <c r="E709" t="s">
        <v>74</v>
      </c>
      <c r="F709" t="s">
        <v>7131</v>
      </c>
      <c r="G709" t="s">
        <v>74</v>
      </c>
      <c r="H709" t="s">
        <v>74</v>
      </c>
      <c r="I709" t="s">
        <v>7132</v>
      </c>
      <c r="J709" t="s">
        <v>2688</v>
      </c>
      <c r="K709" t="s">
        <v>74</v>
      </c>
      <c r="L709" t="s">
        <v>74</v>
      </c>
      <c r="M709" t="s">
        <v>74</v>
      </c>
      <c r="N709" t="s">
        <v>78</v>
      </c>
      <c r="O709" t="s">
        <v>74</v>
      </c>
      <c r="P709" t="s">
        <v>74</v>
      </c>
      <c r="Q709" t="s">
        <v>74</v>
      </c>
      <c r="R709" t="s">
        <v>74</v>
      </c>
      <c r="S709" t="s">
        <v>74</v>
      </c>
      <c r="T709" t="s">
        <v>7133</v>
      </c>
      <c r="U709" t="s">
        <v>7134</v>
      </c>
      <c r="V709" t="s">
        <v>7135</v>
      </c>
      <c r="W709" t="s">
        <v>7136</v>
      </c>
      <c r="X709" t="s">
        <v>7137</v>
      </c>
      <c r="Y709" t="s">
        <v>7138</v>
      </c>
      <c r="Z709" t="s">
        <v>7139</v>
      </c>
      <c r="AA709" t="s">
        <v>74</v>
      </c>
      <c r="AB709" t="s">
        <v>7140</v>
      </c>
      <c r="AC709" t="s">
        <v>74</v>
      </c>
      <c r="AD709" t="s">
        <v>74</v>
      </c>
      <c r="AE709" t="s">
        <v>74</v>
      </c>
      <c r="AF709" t="s">
        <v>74</v>
      </c>
      <c r="AG709">
        <v>33</v>
      </c>
      <c r="AH709">
        <v>0</v>
      </c>
      <c r="AI709">
        <v>0</v>
      </c>
      <c r="AJ709">
        <v>2</v>
      </c>
      <c r="AK709">
        <v>3</v>
      </c>
      <c r="AL709" t="s">
        <v>74</v>
      </c>
      <c r="AM709" t="s">
        <v>74</v>
      </c>
      <c r="AN709" t="s">
        <v>74</v>
      </c>
      <c r="AO709" t="s">
        <v>2697</v>
      </c>
      <c r="AP709" t="s">
        <v>2698</v>
      </c>
      <c r="AQ709" t="s">
        <v>74</v>
      </c>
      <c r="AR709" t="s">
        <v>74</v>
      </c>
      <c r="AS709" t="s">
        <v>74</v>
      </c>
      <c r="AT709" t="s">
        <v>7141</v>
      </c>
      <c r="AU709">
        <v>2022</v>
      </c>
      <c r="AV709">
        <v>594</v>
      </c>
      <c r="AW709" t="s">
        <v>74</v>
      </c>
      <c r="AX709" t="s">
        <v>74</v>
      </c>
      <c r="AY709" t="s">
        <v>74</v>
      </c>
      <c r="AZ709" t="s">
        <v>74</v>
      </c>
      <c r="BA709" t="s">
        <v>74</v>
      </c>
      <c r="BB709">
        <v>109</v>
      </c>
      <c r="BC709">
        <v>116</v>
      </c>
      <c r="BD709" t="s">
        <v>74</v>
      </c>
      <c r="BE709" t="s">
        <v>7142</v>
      </c>
      <c r="BF709" t="str">
        <f>HYPERLINK("http://dx.doi.org/10.1016/j.bbrc.2022.01.065","http://dx.doi.org/10.1016/j.bbrc.2022.01.065")</f>
        <v>http://dx.doi.org/10.1016/j.bbrc.2022.01.065</v>
      </c>
      <c r="BG709" t="s">
        <v>74</v>
      </c>
      <c r="BH709" t="s">
        <v>74</v>
      </c>
      <c r="BI709" t="s">
        <v>74</v>
      </c>
      <c r="BJ709" t="s">
        <v>2701</v>
      </c>
      <c r="BK709" t="s">
        <v>112</v>
      </c>
      <c r="BL709" t="s">
        <v>2701</v>
      </c>
      <c r="BM709" t="s">
        <v>74</v>
      </c>
      <c r="BN709">
        <v>35081499</v>
      </c>
      <c r="BO709" t="s">
        <v>74</v>
      </c>
      <c r="BP709" t="s">
        <v>74</v>
      </c>
      <c r="BQ709" t="s">
        <v>74</v>
      </c>
      <c r="BR709" t="s">
        <v>93</v>
      </c>
      <c r="BS709" t="s">
        <v>7143</v>
      </c>
      <c r="BT709" t="str">
        <f>HYPERLINK("https%3A%2F%2Fwww.webofscience.com%2Fwos%2Fwoscc%2Ffull-record%2FWOS:000748425600010","View Full Record in Web of Science")</f>
        <v>View Full Record in Web of Science</v>
      </c>
    </row>
    <row r="710" spans="1:72" x14ac:dyDescent="0.15">
      <c r="A710" t="s">
        <v>72</v>
      </c>
      <c r="B710" t="s">
        <v>7159</v>
      </c>
      <c r="C710" t="s">
        <v>74</v>
      </c>
      <c r="D710" t="s">
        <v>74</v>
      </c>
      <c r="E710" t="s">
        <v>74</v>
      </c>
      <c r="F710" t="s">
        <v>7160</v>
      </c>
      <c r="G710" t="s">
        <v>74</v>
      </c>
      <c r="H710" t="s">
        <v>74</v>
      </c>
      <c r="I710" t="s">
        <v>7161</v>
      </c>
      <c r="J710" t="s">
        <v>7162</v>
      </c>
      <c r="K710" t="s">
        <v>74</v>
      </c>
      <c r="L710" t="s">
        <v>74</v>
      </c>
      <c r="M710" t="s">
        <v>74</v>
      </c>
      <c r="N710" t="s">
        <v>78</v>
      </c>
      <c r="O710" t="s">
        <v>74</v>
      </c>
      <c r="P710" t="s">
        <v>74</v>
      </c>
      <c r="Q710" t="s">
        <v>74</v>
      </c>
      <c r="R710" t="s">
        <v>74</v>
      </c>
      <c r="S710" t="s">
        <v>74</v>
      </c>
      <c r="T710" t="s">
        <v>7163</v>
      </c>
      <c r="U710" t="s">
        <v>74</v>
      </c>
      <c r="V710" t="s">
        <v>7164</v>
      </c>
      <c r="W710" t="s">
        <v>7165</v>
      </c>
      <c r="X710" t="s">
        <v>7166</v>
      </c>
      <c r="Y710" t="s">
        <v>7167</v>
      </c>
      <c r="Z710" t="s">
        <v>7168</v>
      </c>
      <c r="AA710" t="s">
        <v>7169</v>
      </c>
      <c r="AB710" t="s">
        <v>74</v>
      </c>
      <c r="AC710" t="s">
        <v>74</v>
      </c>
      <c r="AD710" t="s">
        <v>74</v>
      </c>
      <c r="AE710" t="s">
        <v>74</v>
      </c>
      <c r="AF710" t="s">
        <v>74</v>
      </c>
      <c r="AG710">
        <v>30</v>
      </c>
      <c r="AH710">
        <v>0</v>
      </c>
      <c r="AI710">
        <v>0</v>
      </c>
      <c r="AJ710">
        <v>1</v>
      </c>
      <c r="AK710">
        <v>7</v>
      </c>
      <c r="AL710" t="s">
        <v>74</v>
      </c>
      <c r="AM710" t="s">
        <v>74</v>
      </c>
      <c r="AN710" t="s">
        <v>74</v>
      </c>
      <c r="AO710" t="s">
        <v>7170</v>
      </c>
      <c r="AP710" t="s">
        <v>7171</v>
      </c>
      <c r="AQ710" t="s">
        <v>74</v>
      </c>
      <c r="AR710" t="s">
        <v>74</v>
      </c>
      <c r="AS710" t="s">
        <v>74</v>
      </c>
      <c r="AT710" t="s">
        <v>743</v>
      </c>
      <c r="AU710">
        <v>2021</v>
      </c>
      <c r="AV710">
        <v>54</v>
      </c>
      <c r="AW710">
        <v>3</v>
      </c>
      <c r="AX710" t="s">
        <v>74</v>
      </c>
      <c r="AY710" t="s">
        <v>74</v>
      </c>
      <c r="AZ710" t="s">
        <v>1075</v>
      </c>
      <c r="BA710" t="s">
        <v>74</v>
      </c>
      <c r="BB710">
        <v>175</v>
      </c>
      <c r="BC710">
        <v>180</v>
      </c>
      <c r="BD710" t="s">
        <v>74</v>
      </c>
      <c r="BE710" t="s">
        <v>7172</v>
      </c>
      <c r="BF710" t="str">
        <f>HYPERLINK("http://dx.doi.org/10.1007/s00129-021-04749-w","http://dx.doi.org/10.1007/s00129-021-04749-w")</f>
        <v>http://dx.doi.org/10.1007/s00129-021-04749-w</v>
      </c>
      <c r="BG710" t="s">
        <v>74</v>
      </c>
      <c r="BH710" t="s">
        <v>4258</v>
      </c>
      <c r="BI710" t="s">
        <v>74</v>
      </c>
      <c r="BJ710" t="s">
        <v>821</v>
      </c>
      <c r="BK710" t="s">
        <v>91</v>
      </c>
      <c r="BL710" t="s">
        <v>821</v>
      </c>
      <c r="BM710" t="s">
        <v>74</v>
      </c>
      <c r="BN710" t="s">
        <v>74</v>
      </c>
      <c r="BO710" t="s">
        <v>74</v>
      </c>
      <c r="BP710" t="s">
        <v>74</v>
      </c>
      <c r="BQ710" t="s">
        <v>74</v>
      </c>
      <c r="BR710" t="s">
        <v>93</v>
      </c>
      <c r="BS710" t="s">
        <v>7173</v>
      </c>
      <c r="BT710" t="str">
        <f>HYPERLINK("https%3A%2F%2Fwww.webofscience.com%2Fwos%2Fwoscc%2Ffull-record%2FWOS:000614684800001","View Full Record in Web of Science")</f>
        <v>View Full Record in Web of Science</v>
      </c>
    </row>
    <row r="711" spans="1:72" x14ac:dyDescent="0.15">
      <c r="A711" t="s">
        <v>72</v>
      </c>
      <c r="B711" t="s">
        <v>7552</v>
      </c>
      <c r="C711" t="s">
        <v>74</v>
      </c>
      <c r="D711" t="s">
        <v>74</v>
      </c>
      <c r="E711" t="s">
        <v>74</v>
      </c>
      <c r="F711" t="s">
        <v>7553</v>
      </c>
      <c r="G711" t="s">
        <v>74</v>
      </c>
      <c r="H711" t="s">
        <v>74</v>
      </c>
      <c r="I711" t="s">
        <v>7554</v>
      </c>
      <c r="J711" t="s">
        <v>7555</v>
      </c>
      <c r="K711" t="s">
        <v>74</v>
      </c>
      <c r="L711" t="s">
        <v>74</v>
      </c>
      <c r="M711" t="s">
        <v>74</v>
      </c>
      <c r="N711" t="s">
        <v>78</v>
      </c>
      <c r="O711" t="s">
        <v>74</v>
      </c>
      <c r="P711" t="s">
        <v>74</v>
      </c>
      <c r="Q711" t="s">
        <v>74</v>
      </c>
      <c r="R711" t="s">
        <v>74</v>
      </c>
      <c r="S711" t="s">
        <v>74</v>
      </c>
      <c r="T711" t="s">
        <v>7556</v>
      </c>
      <c r="U711" t="s">
        <v>7557</v>
      </c>
      <c r="V711" t="s">
        <v>7558</v>
      </c>
      <c r="W711" t="s">
        <v>7559</v>
      </c>
      <c r="X711" t="s">
        <v>74</v>
      </c>
      <c r="Y711" t="s">
        <v>7560</v>
      </c>
      <c r="Z711" t="s">
        <v>7561</v>
      </c>
      <c r="AA711" t="s">
        <v>74</v>
      </c>
      <c r="AB711" t="s">
        <v>74</v>
      </c>
      <c r="AC711" t="s">
        <v>74</v>
      </c>
      <c r="AD711" t="s">
        <v>74</v>
      </c>
      <c r="AE711" t="s">
        <v>74</v>
      </c>
      <c r="AF711" t="s">
        <v>74</v>
      </c>
      <c r="AG711">
        <v>88</v>
      </c>
      <c r="AH711">
        <v>0</v>
      </c>
      <c r="AI711">
        <v>0</v>
      </c>
      <c r="AJ711">
        <v>0</v>
      </c>
      <c r="AK711">
        <v>3</v>
      </c>
      <c r="AL711" t="s">
        <v>74</v>
      </c>
      <c r="AM711" t="s">
        <v>74</v>
      </c>
      <c r="AN711" t="s">
        <v>74</v>
      </c>
      <c r="AO711" t="s">
        <v>7562</v>
      </c>
      <c r="AP711" t="s">
        <v>7563</v>
      </c>
      <c r="AQ711" t="s">
        <v>74</v>
      </c>
      <c r="AR711" t="s">
        <v>74</v>
      </c>
      <c r="AS711" t="s">
        <v>74</v>
      </c>
      <c r="AT711" t="s">
        <v>3496</v>
      </c>
      <c r="AU711">
        <v>2020</v>
      </c>
      <c r="AV711">
        <v>99</v>
      </c>
      <c r="AW711">
        <v>37</v>
      </c>
      <c r="AX711" t="s">
        <v>74</v>
      </c>
      <c r="AY711" t="s">
        <v>74</v>
      </c>
      <c r="AZ711" t="s">
        <v>74</v>
      </c>
      <c r="BA711" t="s">
        <v>74</v>
      </c>
      <c r="BB711" t="s">
        <v>74</v>
      </c>
      <c r="BC711" t="s">
        <v>74</v>
      </c>
      <c r="BD711" t="s">
        <v>74</v>
      </c>
      <c r="BE711" t="s">
        <v>7564</v>
      </c>
      <c r="BF711" t="str">
        <f>HYPERLINK("http://dx.doi.org/10.1097/MD.0000000000022199","http://dx.doi.org/10.1097/MD.0000000000022199")</f>
        <v>http://dx.doi.org/10.1097/MD.0000000000022199</v>
      </c>
      <c r="BG711" t="s">
        <v>74</v>
      </c>
      <c r="BH711" t="s">
        <v>74</v>
      </c>
      <c r="BI711" t="s">
        <v>74</v>
      </c>
      <c r="BJ711" t="s">
        <v>802</v>
      </c>
      <c r="BK711" t="s">
        <v>112</v>
      </c>
      <c r="BL711" t="s">
        <v>803</v>
      </c>
      <c r="BM711" t="s">
        <v>74</v>
      </c>
      <c r="BN711">
        <v>32925795</v>
      </c>
      <c r="BO711" t="s">
        <v>74</v>
      </c>
      <c r="BP711" t="s">
        <v>74</v>
      </c>
      <c r="BQ711" t="s">
        <v>74</v>
      </c>
      <c r="BR711" t="s">
        <v>93</v>
      </c>
      <c r="BS711" t="s">
        <v>7565</v>
      </c>
      <c r="BT711" t="str">
        <f>HYPERLINK("https%3A%2F%2Fwww.webofscience.com%2Fwos%2Fwoscc%2Ffull-record%2FWOS:000579180600087","View Full Record in Web of Science")</f>
        <v>View Full Record in Web of Science</v>
      </c>
    </row>
    <row r="712" spans="1:72" x14ac:dyDescent="0.15">
      <c r="A712" t="s">
        <v>72</v>
      </c>
      <c r="B712" t="s">
        <v>7626</v>
      </c>
      <c r="C712" t="s">
        <v>74</v>
      </c>
      <c r="D712" t="s">
        <v>74</v>
      </c>
      <c r="E712" t="s">
        <v>74</v>
      </c>
      <c r="F712" t="s">
        <v>7627</v>
      </c>
      <c r="G712" t="s">
        <v>74</v>
      </c>
      <c r="H712" t="s">
        <v>74</v>
      </c>
      <c r="I712" t="s">
        <v>7628</v>
      </c>
      <c r="J712" t="s">
        <v>2013</v>
      </c>
      <c r="K712" t="s">
        <v>74</v>
      </c>
      <c r="L712" t="s">
        <v>74</v>
      </c>
      <c r="M712" t="s">
        <v>74</v>
      </c>
      <c r="N712" t="s">
        <v>78</v>
      </c>
      <c r="O712" t="s">
        <v>74</v>
      </c>
      <c r="P712" t="s">
        <v>74</v>
      </c>
      <c r="Q712" t="s">
        <v>74</v>
      </c>
      <c r="R712" t="s">
        <v>74</v>
      </c>
      <c r="S712" t="s">
        <v>74</v>
      </c>
      <c r="T712" t="s">
        <v>74</v>
      </c>
      <c r="U712" t="s">
        <v>7629</v>
      </c>
      <c r="V712" t="s">
        <v>7630</v>
      </c>
      <c r="W712" t="s">
        <v>7631</v>
      </c>
      <c r="X712" t="s">
        <v>7632</v>
      </c>
      <c r="Y712" t="s">
        <v>7633</v>
      </c>
      <c r="Z712" t="s">
        <v>7634</v>
      </c>
      <c r="AA712" t="s">
        <v>7635</v>
      </c>
      <c r="AB712" t="s">
        <v>7636</v>
      </c>
      <c r="AC712" t="s">
        <v>74</v>
      </c>
      <c r="AD712" t="s">
        <v>74</v>
      </c>
      <c r="AE712" t="s">
        <v>74</v>
      </c>
      <c r="AF712" t="s">
        <v>74</v>
      </c>
      <c r="AG712">
        <v>45</v>
      </c>
      <c r="AH712">
        <v>0</v>
      </c>
      <c r="AI712">
        <v>0</v>
      </c>
      <c r="AJ712">
        <v>39</v>
      </c>
      <c r="AK712">
        <v>41</v>
      </c>
      <c r="AL712" t="s">
        <v>74</v>
      </c>
      <c r="AM712" t="s">
        <v>74</v>
      </c>
      <c r="AN712" t="s">
        <v>74</v>
      </c>
      <c r="AO712" t="s">
        <v>2022</v>
      </c>
      <c r="AP712" t="s">
        <v>2023</v>
      </c>
      <c r="AQ712" t="s">
        <v>74</v>
      </c>
      <c r="AR712" t="s">
        <v>74</v>
      </c>
      <c r="AS712" t="s">
        <v>74</v>
      </c>
      <c r="AT712" t="s">
        <v>2586</v>
      </c>
      <c r="AU712">
        <v>2022</v>
      </c>
      <c r="AV712">
        <v>94</v>
      </c>
      <c r="AW712">
        <v>4</v>
      </c>
      <c r="AX712" t="s">
        <v>74</v>
      </c>
      <c r="AY712" t="s">
        <v>74</v>
      </c>
      <c r="AZ712" t="s">
        <v>74</v>
      </c>
      <c r="BA712" t="s">
        <v>74</v>
      </c>
      <c r="BB712">
        <v>2172</v>
      </c>
      <c r="BC712">
        <v>2179</v>
      </c>
      <c r="BD712" t="s">
        <v>74</v>
      </c>
      <c r="BE712" t="s">
        <v>7637</v>
      </c>
      <c r="BF712" t="str">
        <f>HYPERLINK("http://dx.doi.org/10.1021/acs.analchem.1c04636","http://dx.doi.org/10.1021/acs.analchem.1c04636")</f>
        <v>http://dx.doi.org/10.1021/acs.analchem.1c04636</v>
      </c>
      <c r="BG712" t="s">
        <v>74</v>
      </c>
      <c r="BH712" t="s">
        <v>74</v>
      </c>
      <c r="BI712" t="s">
        <v>74</v>
      </c>
      <c r="BJ712" t="s">
        <v>1196</v>
      </c>
      <c r="BK712" t="s">
        <v>112</v>
      </c>
      <c r="BL712" t="s">
        <v>1197</v>
      </c>
      <c r="BM712" t="s">
        <v>74</v>
      </c>
      <c r="BN712">
        <v>35044159</v>
      </c>
      <c r="BO712" t="s">
        <v>74</v>
      </c>
      <c r="BP712" t="s">
        <v>74</v>
      </c>
      <c r="BQ712" t="s">
        <v>74</v>
      </c>
      <c r="BR712" t="s">
        <v>93</v>
      </c>
      <c r="BS712" t="s">
        <v>7638</v>
      </c>
      <c r="BT712" t="str">
        <f>HYPERLINK("https%3A%2F%2Fwww.webofscience.com%2Fwos%2Fwoscc%2Ffull-record%2FWOS:000763579800031","View Full Record in Web of Science")</f>
        <v>View Full Record in Web of Science</v>
      </c>
    </row>
    <row r="713" spans="1:72" x14ac:dyDescent="0.15">
      <c r="A713" t="s">
        <v>72</v>
      </c>
      <c r="B713" t="s">
        <v>7837</v>
      </c>
      <c r="C713" t="s">
        <v>74</v>
      </c>
      <c r="D713" t="s">
        <v>74</v>
      </c>
      <c r="E713" t="s">
        <v>74</v>
      </c>
      <c r="F713" t="s">
        <v>7838</v>
      </c>
      <c r="G713" t="s">
        <v>74</v>
      </c>
      <c r="H713" t="s">
        <v>74</v>
      </c>
      <c r="I713" t="s">
        <v>7839</v>
      </c>
      <c r="J713" t="s">
        <v>7840</v>
      </c>
      <c r="K713" t="s">
        <v>74</v>
      </c>
      <c r="L713" t="s">
        <v>74</v>
      </c>
      <c r="M713" t="s">
        <v>74</v>
      </c>
      <c r="N713" t="s">
        <v>78</v>
      </c>
      <c r="O713" t="s">
        <v>74</v>
      </c>
      <c r="P713" t="s">
        <v>74</v>
      </c>
      <c r="Q713" t="s">
        <v>74</v>
      </c>
      <c r="R713" t="s">
        <v>74</v>
      </c>
      <c r="S713" t="s">
        <v>74</v>
      </c>
      <c r="T713" t="s">
        <v>7841</v>
      </c>
      <c r="U713" t="s">
        <v>7842</v>
      </c>
      <c r="V713" t="s">
        <v>7843</v>
      </c>
      <c r="W713" t="s">
        <v>7844</v>
      </c>
      <c r="X713" t="s">
        <v>7845</v>
      </c>
      <c r="Y713" t="s">
        <v>7846</v>
      </c>
      <c r="Z713" t="s">
        <v>7847</v>
      </c>
      <c r="AA713" t="s">
        <v>74</v>
      </c>
      <c r="AB713" t="s">
        <v>74</v>
      </c>
      <c r="AC713" t="s">
        <v>74</v>
      </c>
      <c r="AD713" t="s">
        <v>74</v>
      </c>
      <c r="AE713" t="s">
        <v>74</v>
      </c>
      <c r="AF713" t="s">
        <v>74</v>
      </c>
      <c r="AG713">
        <v>60</v>
      </c>
      <c r="AH713">
        <v>0</v>
      </c>
      <c r="AI713">
        <v>0</v>
      </c>
      <c r="AJ713">
        <v>1</v>
      </c>
      <c r="AK713">
        <v>1</v>
      </c>
      <c r="AL713" t="s">
        <v>74</v>
      </c>
      <c r="AM713" t="s">
        <v>74</v>
      </c>
      <c r="AN713" t="s">
        <v>74</v>
      </c>
      <c r="AO713" t="s">
        <v>7848</v>
      </c>
      <c r="AP713" t="s">
        <v>7849</v>
      </c>
      <c r="AQ713" t="s">
        <v>74</v>
      </c>
      <c r="AR713" t="s">
        <v>74</v>
      </c>
      <c r="AS713" t="s">
        <v>74</v>
      </c>
      <c r="AT713" t="s">
        <v>108</v>
      </c>
      <c r="AU713">
        <v>2022</v>
      </c>
      <c r="AV713">
        <v>227</v>
      </c>
      <c r="AW713">
        <v>2</v>
      </c>
      <c r="AX713" t="s">
        <v>74</v>
      </c>
      <c r="AY713" t="s">
        <v>74</v>
      </c>
      <c r="AZ713" t="s">
        <v>74</v>
      </c>
      <c r="BA713" t="s">
        <v>74</v>
      </c>
      <c r="BB713" t="s">
        <v>74</v>
      </c>
      <c r="BC713" t="s">
        <v>74</v>
      </c>
      <c r="BD713">
        <v>152190</v>
      </c>
      <c r="BE713" t="s">
        <v>7850</v>
      </c>
      <c r="BF713" t="str">
        <f>HYPERLINK("http://dx.doi.org/10.1016/j.imbio.2022.152190","http://dx.doi.org/10.1016/j.imbio.2022.152190")</f>
        <v>http://dx.doi.org/10.1016/j.imbio.2022.152190</v>
      </c>
      <c r="BG713" t="s">
        <v>74</v>
      </c>
      <c r="BH713" t="s">
        <v>74</v>
      </c>
      <c r="BI713" t="s">
        <v>74</v>
      </c>
      <c r="BJ713" t="s">
        <v>2276</v>
      </c>
      <c r="BK713" t="s">
        <v>112</v>
      </c>
      <c r="BL713" t="s">
        <v>2276</v>
      </c>
      <c r="BM713" t="s">
        <v>74</v>
      </c>
      <c r="BN713">
        <v>35220071</v>
      </c>
      <c r="BO713" t="s">
        <v>74</v>
      </c>
      <c r="BP713" t="s">
        <v>74</v>
      </c>
      <c r="BQ713" t="s">
        <v>74</v>
      </c>
      <c r="BR713" t="s">
        <v>93</v>
      </c>
      <c r="BS713" t="s">
        <v>7851</v>
      </c>
      <c r="BT713" t="str">
        <f>HYPERLINK("https%3A%2F%2Fwww.webofscience.com%2Fwos%2Fwoscc%2Ffull-record%2FWOS:000777933200005","View Full Record in Web of Science")</f>
        <v>View Full Record in Web of Science</v>
      </c>
    </row>
    <row r="714" spans="1:72" x14ac:dyDescent="0.15">
      <c r="A714" t="s">
        <v>72</v>
      </c>
      <c r="B714" t="s">
        <v>7961</v>
      </c>
      <c r="C714" t="s">
        <v>74</v>
      </c>
      <c r="D714" t="s">
        <v>74</v>
      </c>
      <c r="E714" t="s">
        <v>74</v>
      </c>
      <c r="F714" t="s">
        <v>7962</v>
      </c>
      <c r="G714" t="s">
        <v>74</v>
      </c>
      <c r="H714" t="s">
        <v>74</v>
      </c>
      <c r="I714" t="s">
        <v>7963</v>
      </c>
      <c r="J714" t="s">
        <v>7964</v>
      </c>
      <c r="K714" t="s">
        <v>74</v>
      </c>
      <c r="L714" t="s">
        <v>74</v>
      </c>
      <c r="M714" t="s">
        <v>74</v>
      </c>
      <c r="N714" t="s">
        <v>78</v>
      </c>
      <c r="O714" t="s">
        <v>74</v>
      </c>
      <c r="P714" t="s">
        <v>74</v>
      </c>
      <c r="Q714" t="s">
        <v>74</v>
      </c>
      <c r="R714" t="s">
        <v>74</v>
      </c>
      <c r="S714" t="s">
        <v>74</v>
      </c>
      <c r="T714" t="s">
        <v>7965</v>
      </c>
      <c r="U714" t="s">
        <v>7966</v>
      </c>
      <c r="V714" t="s">
        <v>7967</v>
      </c>
      <c r="W714" t="s">
        <v>7968</v>
      </c>
      <c r="X714" t="s">
        <v>7969</v>
      </c>
      <c r="Y714" t="s">
        <v>7970</v>
      </c>
      <c r="Z714" t="s">
        <v>7971</v>
      </c>
      <c r="AA714" t="s">
        <v>74</v>
      </c>
      <c r="AB714" t="s">
        <v>74</v>
      </c>
      <c r="AC714" t="s">
        <v>74</v>
      </c>
      <c r="AD714" t="s">
        <v>74</v>
      </c>
      <c r="AE714" t="s">
        <v>74</v>
      </c>
      <c r="AF714" t="s">
        <v>74</v>
      </c>
      <c r="AG714">
        <v>45</v>
      </c>
      <c r="AH714">
        <v>0</v>
      </c>
      <c r="AI714">
        <v>0</v>
      </c>
      <c r="AJ714">
        <v>1</v>
      </c>
      <c r="AK714">
        <v>2</v>
      </c>
      <c r="AL714" t="s">
        <v>74</v>
      </c>
      <c r="AM714" t="s">
        <v>74</v>
      </c>
      <c r="AN714" t="s">
        <v>74</v>
      </c>
      <c r="AO714" t="s">
        <v>7972</v>
      </c>
      <c r="AP714" t="s">
        <v>7973</v>
      </c>
      <c r="AQ714" t="s">
        <v>74</v>
      </c>
      <c r="AR714" t="s">
        <v>74</v>
      </c>
      <c r="AS714" t="s">
        <v>74</v>
      </c>
      <c r="AT714" t="s">
        <v>171</v>
      </c>
      <c r="AU714">
        <v>2018</v>
      </c>
      <c r="AV714">
        <v>22</v>
      </c>
      <c r="AW714">
        <v>2</v>
      </c>
      <c r="AX714" t="s">
        <v>74</v>
      </c>
      <c r="AY714" t="s">
        <v>74</v>
      </c>
      <c r="AZ714" t="s">
        <v>74</v>
      </c>
      <c r="BA714" t="s">
        <v>74</v>
      </c>
      <c r="BB714">
        <v>26</v>
      </c>
      <c r="BC714">
        <v>31</v>
      </c>
      <c r="BD714" t="s">
        <v>74</v>
      </c>
      <c r="BE714" t="s">
        <v>7974</v>
      </c>
      <c r="BF714" t="str">
        <f>HYPERLINK("http://dx.doi.org/10.25670/oi2018-019on","http://dx.doi.org/10.25670/oi2018-019on")</f>
        <v>http://dx.doi.org/10.25670/oi2018-019on</v>
      </c>
      <c r="BG714" t="s">
        <v>74</v>
      </c>
      <c r="BH714" t="s">
        <v>74</v>
      </c>
      <c r="BI714" t="s">
        <v>74</v>
      </c>
      <c r="BJ714" t="s">
        <v>146</v>
      </c>
      <c r="BK714" t="s">
        <v>91</v>
      </c>
      <c r="BL714" t="s">
        <v>146</v>
      </c>
      <c r="BM714" t="s">
        <v>74</v>
      </c>
      <c r="BN714" t="s">
        <v>74</v>
      </c>
      <c r="BO714" t="s">
        <v>74</v>
      </c>
      <c r="BP714" t="s">
        <v>74</v>
      </c>
      <c r="BQ714" t="s">
        <v>74</v>
      </c>
      <c r="BR714" t="s">
        <v>93</v>
      </c>
      <c r="BS714" t="s">
        <v>7975</v>
      </c>
      <c r="BT714" t="str">
        <f>HYPERLINK("https%3A%2F%2Fwww.webofscience.com%2Fwos%2Fwoscc%2Ffull-record%2FWOS:000488855300004","View Full Record in Web of Science")</f>
        <v>View Full Record in Web of Science</v>
      </c>
    </row>
    <row r="715" spans="1:72" x14ac:dyDescent="0.15">
      <c r="A715" t="s">
        <v>72</v>
      </c>
      <c r="B715" t="s">
        <v>8035</v>
      </c>
      <c r="C715" t="s">
        <v>74</v>
      </c>
      <c r="D715" t="s">
        <v>74</v>
      </c>
      <c r="E715" t="s">
        <v>74</v>
      </c>
      <c r="F715" t="s">
        <v>8036</v>
      </c>
      <c r="G715" t="s">
        <v>74</v>
      </c>
      <c r="H715" t="s">
        <v>74</v>
      </c>
      <c r="I715" t="s">
        <v>8037</v>
      </c>
      <c r="J715" t="s">
        <v>6782</v>
      </c>
      <c r="K715" t="s">
        <v>74</v>
      </c>
      <c r="L715" t="s">
        <v>74</v>
      </c>
      <c r="M715" t="s">
        <v>74</v>
      </c>
      <c r="N715" t="s">
        <v>78</v>
      </c>
      <c r="O715" t="s">
        <v>74</v>
      </c>
      <c r="P715" t="s">
        <v>74</v>
      </c>
      <c r="Q715" t="s">
        <v>74</v>
      </c>
      <c r="R715" t="s">
        <v>74</v>
      </c>
      <c r="S715" t="s">
        <v>74</v>
      </c>
      <c r="T715" t="s">
        <v>8038</v>
      </c>
      <c r="U715" t="s">
        <v>8039</v>
      </c>
      <c r="V715" t="s">
        <v>8040</v>
      </c>
      <c r="W715" t="s">
        <v>8041</v>
      </c>
      <c r="X715" t="s">
        <v>8042</v>
      </c>
      <c r="Y715" t="s">
        <v>8043</v>
      </c>
      <c r="Z715" t="s">
        <v>8044</v>
      </c>
      <c r="AA715" t="s">
        <v>8045</v>
      </c>
      <c r="AB715" t="s">
        <v>8046</v>
      </c>
      <c r="AC715" t="s">
        <v>74</v>
      </c>
      <c r="AD715" t="s">
        <v>74</v>
      </c>
      <c r="AE715" t="s">
        <v>74</v>
      </c>
      <c r="AF715" t="s">
        <v>74</v>
      </c>
      <c r="AG715">
        <v>19</v>
      </c>
      <c r="AH715">
        <v>0</v>
      </c>
      <c r="AI715">
        <v>0</v>
      </c>
      <c r="AJ715">
        <v>0</v>
      </c>
      <c r="AK715">
        <v>2</v>
      </c>
      <c r="AL715" t="s">
        <v>74</v>
      </c>
      <c r="AM715" t="s">
        <v>74</v>
      </c>
      <c r="AN715" t="s">
        <v>74</v>
      </c>
      <c r="AO715" t="s">
        <v>6791</v>
      </c>
      <c r="AP715" t="s">
        <v>6792</v>
      </c>
      <c r="AQ715" t="s">
        <v>74</v>
      </c>
      <c r="AR715" t="s">
        <v>74</v>
      </c>
      <c r="AS715" t="s">
        <v>74</v>
      </c>
      <c r="AT715" t="s">
        <v>74</v>
      </c>
      <c r="AU715">
        <v>2018</v>
      </c>
      <c r="AV715" t="s">
        <v>74</v>
      </c>
      <c r="AW715">
        <v>4</v>
      </c>
      <c r="AX715" t="s">
        <v>74</v>
      </c>
      <c r="AY715" t="s">
        <v>74</v>
      </c>
      <c r="AZ715" t="s">
        <v>74</v>
      </c>
      <c r="BA715" t="s">
        <v>74</v>
      </c>
      <c r="BB715">
        <v>85</v>
      </c>
      <c r="BC715">
        <v>90</v>
      </c>
      <c r="BD715" t="s">
        <v>74</v>
      </c>
      <c r="BE715" t="s">
        <v>8047</v>
      </c>
      <c r="BF715" t="str">
        <f>HYPERLINK("http://dx.doi.org/10.24075/brsmu.2018.041","http://dx.doi.org/10.24075/brsmu.2018.041")</f>
        <v>http://dx.doi.org/10.24075/brsmu.2018.041</v>
      </c>
      <c r="BG715" t="s">
        <v>74</v>
      </c>
      <c r="BH715" t="s">
        <v>74</v>
      </c>
      <c r="BI715" t="s">
        <v>74</v>
      </c>
      <c r="BJ715" t="s">
        <v>802</v>
      </c>
      <c r="BK715" t="s">
        <v>91</v>
      </c>
      <c r="BL715" t="s">
        <v>803</v>
      </c>
      <c r="BM715" t="s">
        <v>74</v>
      </c>
      <c r="BN715" t="s">
        <v>74</v>
      </c>
      <c r="BO715" t="s">
        <v>74</v>
      </c>
      <c r="BP715" t="s">
        <v>74</v>
      </c>
      <c r="BQ715" t="s">
        <v>74</v>
      </c>
      <c r="BR715" t="s">
        <v>93</v>
      </c>
      <c r="BS715" t="s">
        <v>8048</v>
      </c>
      <c r="BT715" t="str">
        <f>HYPERLINK("https%3A%2F%2Fwww.webofscience.com%2Fwos%2Fwoscc%2Ffull-record%2FWOS:000453450400011","View Full Record in Web of Science")</f>
        <v>View Full Record in Web of Science</v>
      </c>
    </row>
    <row r="716" spans="1:72" x14ac:dyDescent="0.15">
      <c r="A716" t="s">
        <v>72</v>
      </c>
      <c r="B716" t="s">
        <v>8155</v>
      </c>
      <c r="C716" t="s">
        <v>74</v>
      </c>
      <c r="D716" t="s">
        <v>74</v>
      </c>
      <c r="E716" t="s">
        <v>74</v>
      </c>
      <c r="F716" t="s">
        <v>8156</v>
      </c>
      <c r="G716" t="s">
        <v>74</v>
      </c>
      <c r="H716" t="s">
        <v>74</v>
      </c>
      <c r="I716" t="s">
        <v>8157</v>
      </c>
      <c r="J716" t="s">
        <v>2094</v>
      </c>
      <c r="K716" t="s">
        <v>74</v>
      </c>
      <c r="L716" t="s">
        <v>74</v>
      </c>
      <c r="M716" t="s">
        <v>74</v>
      </c>
      <c r="N716" t="s">
        <v>78</v>
      </c>
      <c r="O716" t="s">
        <v>74</v>
      </c>
      <c r="P716" t="s">
        <v>74</v>
      </c>
      <c r="Q716" t="s">
        <v>74</v>
      </c>
      <c r="R716" t="s">
        <v>74</v>
      </c>
      <c r="S716" t="s">
        <v>74</v>
      </c>
      <c r="T716" t="s">
        <v>8158</v>
      </c>
      <c r="U716" t="s">
        <v>8159</v>
      </c>
      <c r="V716" t="s">
        <v>8160</v>
      </c>
      <c r="W716" t="s">
        <v>8161</v>
      </c>
      <c r="X716" t="s">
        <v>8162</v>
      </c>
      <c r="Y716" t="s">
        <v>8163</v>
      </c>
      <c r="Z716" t="s">
        <v>8164</v>
      </c>
      <c r="AA716" t="s">
        <v>8165</v>
      </c>
      <c r="AB716" t="s">
        <v>8166</v>
      </c>
      <c r="AC716" t="s">
        <v>74</v>
      </c>
      <c r="AD716" t="s">
        <v>74</v>
      </c>
      <c r="AE716" t="s">
        <v>74</v>
      </c>
      <c r="AF716" t="s">
        <v>74</v>
      </c>
      <c r="AG716">
        <v>59</v>
      </c>
      <c r="AH716">
        <v>0</v>
      </c>
      <c r="AI716">
        <v>0</v>
      </c>
      <c r="AJ716">
        <v>3</v>
      </c>
      <c r="AK716">
        <v>3</v>
      </c>
      <c r="AL716" t="s">
        <v>74</v>
      </c>
      <c r="AM716" t="s">
        <v>74</v>
      </c>
      <c r="AN716" t="s">
        <v>74</v>
      </c>
      <c r="AO716" t="s">
        <v>74</v>
      </c>
      <c r="AP716" t="s">
        <v>2103</v>
      </c>
      <c r="AQ716" t="s">
        <v>74</v>
      </c>
      <c r="AR716" t="s">
        <v>74</v>
      </c>
      <c r="AS716" t="s">
        <v>74</v>
      </c>
      <c r="AT716" t="s">
        <v>640</v>
      </c>
      <c r="AU716">
        <v>2022</v>
      </c>
      <c r="AV716">
        <v>11</v>
      </c>
      <c r="AW716">
        <v>3</v>
      </c>
      <c r="AX716" t="s">
        <v>74</v>
      </c>
      <c r="AY716" t="s">
        <v>74</v>
      </c>
      <c r="AZ716" t="s">
        <v>74</v>
      </c>
      <c r="BA716" t="s">
        <v>74</v>
      </c>
      <c r="BB716" t="s">
        <v>74</v>
      </c>
      <c r="BC716" t="s">
        <v>74</v>
      </c>
      <c r="BD716">
        <v>516</v>
      </c>
      <c r="BE716" t="s">
        <v>8167</v>
      </c>
      <c r="BF716" t="str">
        <f>HYPERLINK("http://dx.doi.org/10.3390/cells11030516","http://dx.doi.org/10.3390/cells11030516")</f>
        <v>http://dx.doi.org/10.3390/cells11030516</v>
      </c>
      <c r="BG716" t="s">
        <v>74</v>
      </c>
      <c r="BH716" t="s">
        <v>74</v>
      </c>
      <c r="BI716" t="s">
        <v>74</v>
      </c>
      <c r="BJ716" t="s">
        <v>419</v>
      </c>
      <c r="BK716" t="s">
        <v>112</v>
      </c>
      <c r="BL716" t="s">
        <v>419</v>
      </c>
      <c r="BM716" t="s">
        <v>74</v>
      </c>
      <c r="BN716">
        <v>35159325</v>
      </c>
      <c r="BO716" t="s">
        <v>74</v>
      </c>
      <c r="BP716" t="s">
        <v>74</v>
      </c>
      <c r="BQ716" t="s">
        <v>74</v>
      </c>
      <c r="BR716" t="s">
        <v>93</v>
      </c>
      <c r="BS716" t="s">
        <v>8168</v>
      </c>
      <c r="BT716" t="str">
        <f>HYPERLINK("https%3A%2F%2Fwww.webofscience.com%2Fwos%2Fwoscc%2Ffull-record%2FWOS:000759572400001","View Full Record in Web of Science")</f>
        <v>View Full Record in Web of Science</v>
      </c>
    </row>
    <row r="717" spans="1:72" x14ac:dyDescent="0.15">
      <c r="A717" t="s">
        <v>72</v>
      </c>
      <c r="B717" t="s">
        <v>8286</v>
      </c>
      <c r="C717" t="s">
        <v>74</v>
      </c>
      <c r="D717" t="s">
        <v>74</v>
      </c>
      <c r="E717" t="s">
        <v>74</v>
      </c>
      <c r="F717" t="s">
        <v>8287</v>
      </c>
      <c r="G717" t="s">
        <v>74</v>
      </c>
      <c r="H717" t="s">
        <v>74</v>
      </c>
      <c r="I717" t="s">
        <v>8288</v>
      </c>
      <c r="J717" t="s">
        <v>8289</v>
      </c>
      <c r="K717" t="s">
        <v>74</v>
      </c>
      <c r="L717" t="s">
        <v>74</v>
      </c>
      <c r="M717" t="s">
        <v>74</v>
      </c>
      <c r="N717" t="s">
        <v>78</v>
      </c>
      <c r="O717" t="s">
        <v>74</v>
      </c>
      <c r="P717" t="s">
        <v>74</v>
      </c>
      <c r="Q717" t="s">
        <v>74</v>
      </c>
      <c r="R717" t="s">
        <v>74</v>
      </c>
      <c r="S717" t="s">
        <v>74</v>
      </c>
      <c r="T717" t="s">
        <v>8290</v>
      </c>
      <c r="U717" t="s">
        <v>8291</v>
      </c>
      <c r="V717" t="s">
        <v>8292</v>
      </c>
      <c r="W717" t="s">
        <v>8293</v>
      </c>
      <c r="X717" t="s">
        <v>8294</v>
      </c>
      <c r="Y717" t="s">
        <v>8295</v>
      </c>
      <c r="Z717" t="s">
        <v>8296</v>
      </c>
      <c r="AA717" t="s">
        <v>74</v>
      </c>
      <c r="AB717" t="s">
        <v>8297</v>
      </c>
      <c r="AC717" t="s">
        <v>74</v>
      </c>
      <c r="AD717" t="s">
        <v>74</v>
      </c>
      <c r="AE717" t="s">
        <v>74</v>
      </c>
      <c r="AF717" t="s">
        <v>74</v>
      </c>
      <c r="AG717">
        <v>92</v>
      </c>
      <c r="AH717">
        <v>0</v>
      </c>
      <c r="AI717">
        <v>0</v>
      </c>
      <c r="AJ717">
        <v>0</v>
      </c>
      <c r="AK717">
        <v>2</v>
      </c>
      <c r="AL717" t="s">
        <v>74</v>
      </c>
      <c r="AM717" t="s">
        <v>74</v>
      </c>
      <c r="AN717" t="s">
        <v>74</v>
      </c>
      <c r="AO717" t="s">
        <v>8298</v>
      </c>
      <c r="AP717" t="s">
        <v>8299</v>
      </c>
      <c r="AQ717" t="s">
        <v>74</v>
      </c>
      <c r="AR717" t="s">
        <v>74</v>
      </c>
      <c r="AS717" t="s">
        <v>74</v>
      </c>
      <c r="AT717" t="s">
        <v>88</v>
      </c>
      <c r="AU717">
        <v>2019</v>
      </c>
      <c r="AV717">
        <v>11</v>
      </c>
      <c r="AW717">
        <v>2</v>
      </c>
      <c r="AX717" t="s">
        <v>74</v>
      </c>
      <c r="AY717" t="s">
        <v>74</v>
      </c>
      <c r="AZ717" t="s">
        <v>74</v>
      </c>
      <c r="BA717" t="s">
        <v>74</v>
      </c>
      <c r="BB717">
        <v>52</v>
      </c>
      <c r="BC717">
        <v>66</v>
      </c>
      <c r="BD717" t="s">
        <v>74</v>
      </c>
      <c r="BE717" t="s">
        <v>8300</v>
      </c>
      <c r="BF717" t="str">
        <f>HYPERLINK("http://dx.doi.org/10.1007/s12609-019-0308-0","http://dx.doi.org/10.1007/s12609-019-0308-0")</f>
        <v>http://dx.doi.org/10.1007/s12609-019-0308-0</v>
      </c>
      <c r="BG717" t="s">
        <v>74</v>
      </c>
      <c r="BH717" t="s">
        <v>74</v>
      </c>
      <c r="BI717" t="s">
        <v>74</v>
      </c>
      <c r="BJ717" t="s">
        <v>146</v>
      </c>
      <c r="BK717" t="s">
        <v>91</v>
      </c>
      <c r="BL717" t="s">
        <v>146</v>
      </c>
      <c r="BM717" t="s">
        <v>74</v>
      </c>
      <c r="BN717" t="s">
        <v>74</v>
      </c>
      <c r="BO717" t="s">
        <v>74</v>
      </c>
      <c r="BP717" t="s">
        <v>74</v>
      </c>
      <c r="BQ717" t="s">
        <v>74</v>
      </c>
      <c r="BR717" t="s">
        <v>93</v>
      </c>
      <c r="BS717" t="s">
        <v>8301</v>
      </c>
      <c r="BT717" t="str">
        <f>HYPERLINK("https%3A%2F%2Fwww.webofscience.com%2Fwos%2Fwoscc%2Ffull-record%2FWOS:000472900500004","View Full Record in Web of Science")</f>
        <v>View Full Record in Web of Science</v>
      </c>
    </row>
    <row r="718" spans="1:72" x14ac:dyDescent="0.15">
      <c r="A718" t="s">
        <v>72</v>
      </c>
      <c r="B718" t="s">
        <v>8349</v>
      </c>
      <c r="C718" t="s">
        <v>74</v>
      </c>
      <c r="D718" t="s">
        <v>74</v>
      </c>
      <c r="E718" t="s">
        <v>74</v>
      </c>
      <c r="F718" t="s">
        <v>8350</v>
      </c>
      <c r="G718" t="s">
        <v>74</v>
      </c>
      <c r="H718" t="s">
        <v>74</v>
      </c>
      <c r="I718" t="s">
        <v>8351</v>
      </c>
      <c r="J718" t="s">
        <v>8352</v>
      </c>
      <c r="K718" t="s">
        <v>74</v>
      </c>
      <c r="L718" t="s">
        <v>74</v>
      </c>
      <c r="M718" t="s">
        <v>74</v>
      </c>
      <c r="N718" t="s">
        <v>78</v>
      </c>
      <c r="O718" t="s">
        <v>74</v>
      </c>
      <c r="P718" t="s">
        <v>74</v>
      </c>
      <c r="Q718" t="s">
        <v>74</v>
      </c>
      <c r="R718" t="s">
        <v>74</v>
      </c>
      <c r="S718" t="s">
        <v>74</v>
      </c>
      <c r="T718" t="s">
        <v>8353</v>
      </c>
      <c r="U718" t="s">
        <v>8354</v>
      </c>
      <c r="V718" t="s">
        <v>8355</v>
      </c>
      <c r="W718" t="s">
        <v>8356</v>
      </c>
      <c r="X718" t="s">
        <v>8357</v>
      </c>
      <c r="Y718" t="s">
        <v>8358</v>
      </c>
      <c r="Z718" t="s">
        <v>8359</v>
      </c>
      <c r="AA718" t="s">
        <v>8360</v>
      </c>
      <c r="AB718" t="s">
        <v>74</v>
      </c>
      <c r="AC718" t="s">
        <v>74</v>
      </c>
      <c r="AD718" t="s">
        <v>74</v>
      </c>
      <c r="AE718" t="s">
        <v>74</v>
      </c>
      <c r="AF718" t="s">
        <v>74</v>
      </c>
      <c r="AG718">
        <v>37</v>
      </c>
      <c r="AH718">
        <v>0</v>
      </c>
      <c r="AI718">
        <v>0</v>
      </c>
      <c r="AJ718">
        <v>1</v>
      </c>
      <c r="AK718">
        <v>1</v>
      </c>
      <c r="AL718" t="s">
        <v>74</v>
      </c>
      <c r="AM718" t="s">
        <v>74</v>
      </c>
      <c r="AN718" t="s">
        <v>74</v>
      </c>
      <c r="AO718" t="s">
        <v>8361</v>
      </c>
      <c r="AP718" t="s">
        <v>74</v>
      </c>
      <c r="AQ718" t="s">
        <v>74</v>
      </c>
      <c r="AR718" t="s">
        <v>74</v>
      </c>
      <c r="AS718" t="s">
        <v>74</v>
      </c>
      <c r="AT718" t="s">
        <v>74</v>
      </c>
      <c r="AU718">
        <v>2022</v>
      </c>
      <c r="AV718">
        <v>13</v>
      </c>
      <c r="AW718">
        <v>5</v>
      </c>
      <c r="AX718" t="s">
        <v>74</v>
      </c>
      <c r="AY718" t="s">
        <v>74</v>
      </c>
      <c r="AZ718" t="s">
        <v>74</v>
      </c>
      <c r="BA718" t="s">
        <v>74</v>
      </c>
      <c r="BB718">
        <v>1388</v>
      </c>
      <c r="BC718">
        <v>1397</v>
      </c>
      <c r="BD718" t="s">
        <v>74</v>
      </c>
      <c r="BE718" t="s">
        <v>8362</v>
      </c>
      <c r="BF718" t="str">
        <f>HYPERLINK("http://dx.doi.org/10.7150/jca.69639","http://dx.doi.org/10.7150/jca.69639")</f>
        <v>http://dx.doi.org/10.7150/jca.69639</v>
      </c>
      <c r="BG718" t="s">
        <v>74</v>
      </c>
      <c r="BH718" t="s">
        <v>74</v>
      </c>
      <c r="BI718" t="s">
        <v>74</v>
      </c>
      <c r="BJ718" t="s">
        <v>146</v>
      </c>
      <c r="BK718" t="s">
        <v>112</v>
      </c>
      <c r="BL718" t="s">
        <v>146</v>
      </c>
      <c r="BM718" t="s">
        <v>74</v>
      </c>
      <c r="BN718">
        <v>35371331</v>
      </c>
      <c r="BO718" t="s">
        <v>74</v>
      </c>
      <c r="BP718" t="s">
        <v>74</v>
      </c>
      <c r="BQ718" t="s">
        <v>74</v>
      </c>
      <c r="BR718" t="s">
        <v>93</v>
      </c>
      <c r="BS718" t="s">
        <v>8363</v>
      </c>
      <c r="BT718" t="str">
        <f>HYPERLINK("https%3A%2F%2Fwww.webofscience.com%2Fwos%2Fwoscc%2Ffull-record%2FWOS:000819454200001","View Full Record in Web of Science")</f>
        <v>View Full Record in Web of Science</v>
      </c>
    </row>
    <row r="719" spans="1:72" x14ac:dyDescent="0.15">
      <c r="A719" t="s">
        <v>72</v>
      </c>
      <c r="B719" t="s">
        <v>8364</v>
      </c>
      <c r="C719" t="s">
        <v>74</v>
      </c>
      <c r="D719" t="s">
        <v>74</v>
      </c>
      <c r="E719" t="s">
        <v>74</v>
      </c>
      <c r="F719" t="s">
        <v>8365</v>
      </c>
      <c r="G719" t="s">
        <v>74</v>
      </c>
      <c r="H719" t="s">
        <v>74</v>
      </c>
      <c r="I719" t="s">
        <v>8366</v>
      </c>
      <c r="J719" t="s">
        <v>6669</v>
      </c>
      <c r="K719" t="s">
        <v>74</v>
      </c>
      <c r="L719" t="s">
        <v>74</v>
      </c>
      <c r="M719" t="s">
        <v>74</v>
      </c>
      <c r="N719" t="s">
        <v>78</v>
      </c>
      <c r="O719" t="s">
        <v>74</v>
      </c>
      <c r="P719" t="s">
        <v>74</v>
      </c>
      <c r="Q719" t="s">
        <v>74</v>
      </c>
      <c r="R719" t="s">
        <v>74</v>
      </c>
      <c r="S719" t="s">
        <v>74</v>
      </c>
      <c r="T719" t="s">
        <v>8367</v>
      </c>
      <c r="U719" t="s">
        <v>8368</v>
      </c>
      <c r="V719" t="s">
        <v>8369</v>
      </c>
      <c r="W719" t="s">
        <v>8370</v>
      </c>
      <c r="X719" t="s">
        <v>8371</v>
      </c>
      <c r="Y719" t="s">
        <v>8372</v>
      </c>
      <c r="Z719" t="s">
        <v>8373</v>
      </c>
      <c r="AA719" t="s">
        <v>74</v>
      </c>
      <c r="AB719" t="s">
        <v>74</v>
      </c>
      <c r="AC719" t="s">
        <v>74</v>
      </c>
      <c r="AD719" t="s">
        <v>74</v>
      </c>
      <c r="AE719" t="s">
        <v>74</v>
      </c>
      <c r="AF719" t="s">
        <v>74</v>
      </c>
      <c r="AG719">
        <v>31</v>
      </c>
      <c r="AH719">
        <v>0</v>
      </c>
      <c r="AI719">
        <v>0</v>
      </c>
      <c r="AJ719">
        <v>0</v>
      </c>
      <c r="AK719">
        <v>3</v>
      </c>
      <c r="AL719" t="s">
        <v>74</v>
      </c>
      <c r="AM719" t="s">
        <v>74</v>
      </c>
      <c r="AN719" t="s">
        <v>74</v>
      </c>
      <c r="AO719" t="s">
        <v>6677</v>
      </c>
      <c r="AP719" t="s">
        <v>6678</v>
      </c>
      <c r="AQ719" t="s">
        <v>74</v>
      </c>
      <c r="AR719" t="s">
        <v>74</v>
      </c>
      <c r="AS719" t="s">
        <v>74</v>
      </c>
      <c r="AT719" t="s">
        <v>108</v>
      </c>
      <c r="AU719">
        <v>2020</v>
      </c>
      <c r="AV719">
        <v>26</v>
      </c>
      <c r="AW719">
        <v>1</v>
      </c>
      <c r="AX719" t="s">
        <v>74</v>
      </c>
      <c r="AY719" t="s">
        <v>74</v>
      </c>
      <c r="AZ719" t="s">
        <v>74</v>
      </c>
      <c r="BA719" t="s">
        <v>74</v>
      </c>
      <c r="BB719">
        <v>53</v>
      </c>
      <c r="BC719">
        <v>59</v>
      </c>
      <c r="BD719" t="s">
        <v>74</v>
      </c>
      <c r="BE719" t="s">
        <v>8374</v>
      </c>
      <c r="BF719" t="str">
        <f>HYPERLINK("http://dx.doi.org/10.1007/s00761-019-00684-7","http://dx.doi.org/10.1007/s00761-019-00684-7")</f>
        <v>http://dx.doi.org/10.1007/s00761-019-00684-7</v>
      </c>
      <c r="BG719" t="s">
        <v>74</v>
      </c>
      <c r="BH719" t="s">
        <v>8375</v>
      </c>
      <c r="BI719" t="s">
        <v>74</v>
      </c>
      <c r="BJ719" t="s">
        <v>146</v>
      </c>
      <c r="BK719" t="s">
        <v>112</v>
      </c>
      <c r="BL719" t="s">
        <v>146</v>
      </c>
      <c r="BM719" t="s">
        <v>74</v>
      </c>
      <c r="BN719" t="s">
        <v>74</v>
      </c>
      <c r="BO719" t="s">
        <v>74</v>
      </c>
      <c r="BP719" t="s">
        <v>74</v>
      </c>
      <c r="BQ719" t="s">
        <v>74</v>
      </c>
      <c r="BR719" t="s">
        <v>93</v>
      </c>
      <c r="BS719" t="s">
        <v>8376</v>
      </c>
      <c r="BT719" t="str">
        <f>HYPERLINK("https%3A%2F%2Fwww.webofscience.com%2Fwos%2Fwoscc%2Ffull-record%2FWOS:000499433000001","View Full Record in Web of Science")</f>
        <v>View Full Record in Web of Science</v>
      </c>
    </row>
    <row r="720" spans="1:72" x14ac:dyDescent="0.15">
      <c r="A720" t="s">
        <v>72</v>
      </c>
      <c r="B720" t="s">
        <v>8453</v>
      </c>
      <c r="C720" t="s">
        <v>74</v>
      </c>
      <c r="D720" t="s">
        <v>74</v>
      </c>
      <c r="E720" t="s">
        <v>74</v>
      </c>
      <c r="F720" t="s">
        <v>8454</v>
      </c>
      <c r="G720" t="s">
        <v>74</v>
      </c>
      <c r="H720" t="s">
        <v>74</v>
      </c>
      <c r="I720" t="s">
        <v>8455</v>
      </c>
      <c r="J720" t="s">
        <v>8456</v>
      </c>
      <c r="K720" t="s">
        <v>74</v>
      </c>
      <c r="L720" t="s">
        <v>74</v>
      </c>
      <c r="M720" t="s">
        <v>74</v>
      </c>
      <c r="N720" t="s">
        <v>78</v>
      </c>
      <c r="O720" t="s">
        <v>74</v>
      </c>
      <c r="P720" t="s">
        <v>74</v>
      </c>
      <c r="Q720" t="s">
        <v>74</v>
      </c>
      <c r="R720" t="s">
        <v>74</v>
      </c>
      <c r="S720" t="s">
        <v>74</v>
      </c>
      <c r="T720" t="s">
        <v>8457</v>
      </c>
      <c r="U720" t="s">
        <v>8458</v>
      </c>
      <c r="V720" t="s">
        <v>8459</v>
      </c>
      <c r="W720" t="s">
        <v>8460</v>
      </c>
      <c r="X720" t="s">
        <v>8461</v>
      </c>
      <c r="Y720" t="s">
        <v>8462</v>
      </c>
      <c r="Z720" t="s">
        <v>8463</v>
      </c>
      <c r="AA720" t="s">
        <v>8464</v>
      </c>
      <c r="AB720" t="s">
        <v>8465</v>
      </c>
      <c r="AC720" t="s">
        <v>74</v>
      </c>
      <c r="AD720" t="s">
        <v>74</v>
      </c>
      <c r="AE720" t="s">
        <v>74</v>
      </c>
      <c r="AF720" t="s">
        <v>74</v>
      </c>
      <c r="AG720">
        <v>38</v>
      </c>
      <c r="AH720">
        <v>0</v>
      </c>
      <c r="AI720">
        <v>0</v>
      </c>
      <c r="AJ720">
        <v>0</v>
      </c>
      <c r="AK720">
        <v>0</v>
      </c>
      <c r="AL720" t="s">
        <v>74</v>
      </c>
      <c r="AM720" t="s">
        <v>74</v>
      </c>
      <c r="AN720" t="s">
        <v>74</v>
      </c>
      <c r="AO720" t="s">
        <v>74</v>
      </c>
      <c r="AP720" t="s">
        <v>8466</v>
      </c>
      <c r="AQ720" t="s">
        <v>74</v>
      </c>
      <c r="AR720" t="s">
        <v>74</v>
      </c>
      <c r="AS720" t="s">
        <v>74</v>
      </c>
      <c r="AT720" t="s">
        <v>129</v>
      </c>
      <c r="AU720">
        <v>2022</v>
      </c>
      <c r="AV720">
        <v>12</v>
      </c>
      <c r="AW720">
        <v>4</v>
      </c>
      <c r="AX720" t="s">
        <v>74</v>
      </c>
      <c r="AY720" t="s">
        <v>74</v>
      </c>
      <c r="AZ720" t="s">
        <v>74</v>
      </c>
      <c r="BA720" t="s">
        <v>74</v>
      </c>
      <c r="BB720" t="s">
        <v>74</v>
      </c>
      <c r="BC720" t="s">
        <v>74</v>
      </c>
      <c r="BD720">
        <v>506</v>
      </c>
      <c r="BE720" t="s">
        <v>8467</v>
      </c>
      <c r="BF720" t="str">
        <f>HYPERLINK("http://dx.doi.org/10.3390/life12040506","http://dx.doi.org/10.3390/life12040506")</f>
        <v>http://dx.doi.org/10.3390/life12040506</v>
      </c>
      <c r="BG720" t="s">
        <v>74</v>
      </c>
      <c r="BH720" t="s">
        <v>74</v>
      </c>
      <c r="BI720" t="s">
        <v>74</v>
      </c>
      <c r="BJ720" t="s">
        <v>8468</v>
      </c>
      <c r="BK720" t="s">
        <v>112</v>
      </c>
      <c r="BL720" t="s">
        <v>8469</v>
      </c>
      <c r="BM720" t="s">
        <v>74</v>
      </c>
      <c r="BN720">
        <v>35454997</v>
      </c>
      <c r="BO720" t="s">
        <v>74</v>
      </c>
      <c r="BP720" t="s">
        <v>74</v>
      </c>
      <c r="BQ720" t="s">
        <v>74</v>
      </c>
      <c r="BR720" t="s">
        <v>93</v>
      </c>
      <c r="BS720" t="s">
        <v>8470</v>
      </c>
      <c r="BT720" t="str">
        <f>HYPERLINK("https%3A%2F%2Fwww.webofscience.com%2Fwos%2Fwoscc%2Ffull-record%2FWOS:000785333700001","View Full Record in Web of Science")</f>
        <v>View Full Record in Web of Science</v>
      </c>
    </row>
    <row r="721" spans="1:72" x14ac:dyDescent="0.15">
      <c r="A721" t="s">
        <v>72</v>
      </c>
      <c r="B721" t="s">
        <v>9042</v>
      </c>
      <c r="C721" t="s">
        <v>74</v>
      </c>
      <c r="D721" t="s">
        <v>74</v>
      </c>
      <c r="E721" t="s">
        <v>74</v>
      </c>
      <c r="F721" t="s">
        <v>9043</v>
      </c>
      <c r="G721" t="s">
        <v>74</v>
      </c>
      <c r="H721" t="s">
        <v>74</v>
      </c>
      <c r="I721" t="s">
        <v>9044</v>
      </c>
      <c r="J721" t="s">
        <v>6585</v>
      </c>
      <c r="K721" t="s">
        <v>74</v>
      </c>
      <c r="L721" t="s">
        <v>74</v>
      </c>
      <c r="M721" t="s">
        <v>74</v>
      </c>
      <c r="N721" t="s">
        <v>78</v>
      </c>
      <c r="O721" t="s">
        <v>74</v>
      </c>
      <c r="P721" t="s">
        <v>74</v>
      </c>
      <c r="Q721" t="s">
        <v>74</v>
      </c>
      <c r="R721" t="s">
        <v>74</v>
      </c>
      <c r="S721" t="s">
        <v>74</v>
      </c>
      <c r="T721" t="s">
        <v>9045</v>
      </c>
      <c r="U721" t="s">
        <v>9046</v>
      </c>
      <c r="V721" t="s">
        <v>9047</v>
      </c>
      <c r="W721" t="s">
        <v>9048</v>
      </c>
      <c r="X721" t="s">
        <v>9049</v>
      </c>
      <c r="Y721" t="s">
        <v>9050</v>
      </c>
      <c r="Z721" t="s">
        <v>9051</v>
      </c>
      <c r="AA721" t="s">
        <v>74</v>
      </c>
      <c r="AB721" t="s">
        <v>74</v>
      </c>
      <c r="AC721" t="s">
        <v>74</v>
      </c>
      <c r="AD721" t="s">
        <v>74</v>
      </c>
      <c r="AE721" t="s">
        <v>74</v>
      </c>
      <c r="AF721" t="s">
        <v>74</v>
      </c>
      <c r="AG721">
        <v>29</v>
      </c>
      <c r="AH721">
        <v>0</v>
      </c>
      <c r="AI721">
        <v>0</v>
      </c>
      <c r="AJ721">
        <v>1</v>
      </c>
      <c r="AK721">
        <v>1</v>
      </c>
      <c r="AL721" t="s">
        <v>74</v>
      </c>
      <c r="AM721" t="s">
        <v>74</v>
      </c>
      <c r="AN721" t="s">
        <v>74</v>
      </c>
      <c r="AO721" t="s">
        <v>6595</v>
      </c>
      <c r="AP721" t="s">
        <v>74</v>
      </c>
      <c r="AQ721" t="s">
        <v>74</v>
      </c>
      <c r="AR721" t="s">
        <v>74</v>
      </c>
      <c r="AS721" t="s">
        <v>74</v>
      </c>
      <c r="AT721" t="s">
        <v>74</v>
      </c>
      <c r="AU721">
        <v>2021</v>
      </c>
      <c r="AV721">
        <v>13</v>
      </c>
      <c r="AW721">
        <v>5</v>
      </c>
      <c r="AX721" t="s">
        <v>74</v>
      </c>
      <c r="AY721" t="s">
        <v>74</v>
      </c>
      <c r="AZ721" t="s">
        <v>74</v>
      </c>
      <c r="BA721" t="s">
        <v>74</v>
      </c>
      <c r="BB721">
        <v>4182</v>
      </c>
      <c r="BC721">
        <v>4196</v>
      </c>
      <c r="BD721" t="s">
        <v>74</v>
      </c>
      <c r="BE721" t="s">
        <v>74</v>
      </c>
      <c r="BF721" t="s">
        <v>74</v>
      </c>
      <c r="BG721" t="s">
        <v>74</v>
      </c>
      <c r="BH721" t="s">
        <v>74</v>
      </c>
      <c r="BI721" t="s">
        <v>74</v>
      </c>
      <c r="BJ721" t="s">
        <v>3565</v>
      </c>
      <c r="BK721" t="s">
        <v>112</v>
      </c>
      <c r="BL721" t="s">
        <v>3566</v>
      </c>
      <c r="BM721" t="s">
        <v>74</v>
      </c>
      <c r="BN721">
        <v>34150007</v>
      </c>
      <c r="BO721" t="s">
        <v>74</v>
      </c>
      <c r="BP721" t="s">
        <v>74</v>
      </c>
      <c r="BQ721" t="s">
        <v>74</v>
      </c>
      <c r="BR721" t="s">
        <v>93</v>
      </c>
      <c r="BS721" t="s">
        <v>9052</v>
      </c>
      <c r="BT721" t="str">
        <f>HYPERLINK("https%3A%2F%2Fwww.webofscience.com%2Fwos%2Fwoscc%2Ffull-record%2FWOS:000657484100003","View Full Record in Web of Science")</f>
        <v>View Full Record in Web of Science</v>
      </c>
    </row>
    <row r="722" spans="1:72" x14ac:dyDescent="0.15">
      <c r="A722" t="s">
        <v>72</v>
      </c>
      <c r="B722" t="s">
        <v>9152</v>
      </c>
      <c r="C722" t="s">
        <v>74</v>
      </c>
      <c r="D722" t="s">
        <v>74</v>
      </c>
      <c r="E722" t="s">
        <v>74</v>
      </c>
      <c r="F722" t="s">
        <v>9153</v>
      </c>
      <c r="G722" t="s">
        <v>74</v>
      </c>
      <c r="H722" t="s">
        <v>74</v>
      </c>
      <c r="I722" t="s">
        <v>9154</v>
      </c>
      <c r="J722" t="s">
        <v>9155</v>
      </c>
      <c r="K722" t="s">
        <v>74</v>
      </c>
      <c r="L722" t="s">
        <v>74</v>
      </c>
      <c r="M722" t="s">
        <v>74</v>
      </c>
      <c r="N722" t="s">
        <v>78</v>
      </c>
      <c r="O722" t="s">
        <v>74</v>
      </c>
      <c r="P722" t="s">
        <v>74</v>
      </c>
      <c r="Q722" t="s">
        <v>74</v>
      </c>
      <c r="R722" t="s">
        <v>74</v>
      </c>
      <c r="S722" t="s">
        <v>74</v>
      </c>
      <c r="T722" t="s">
        <v>9156</v>
      </c>
      <c r="U722" t="s">
        <v>9157</v>
      </c>
      <c r="V722" t="s">
        <v>9158</v>
      </c>
      <c r="W722" t="s">
        <v>9159</v>
      </c>
      <c r="X722" t="s">
        <v>9160</v>
      </c>
      <c r="Y722" t="s">
        <v>9161</v>
      </c>
      <c r="Z722" t="s">
        <v>9162</v>
      </c>
      <c r="AA722" t="s">
        <v>74</v>
      </c>
      <c r="AB722" t="s">
        <v>74</v>
      </c>
      <c r="AC722" t="s">
        <v>74</v>
      </c>
      <c r="AD722" t="s">
        <v>74</v>
      </c>
      <c r="AE722" t="s">
        <v>74</v>
      </c>
      <c r="AF722" t="s">
        <v>74</v>
      </c>
      <c r="AG722">
        <v>35</v>
      </c>
      <c r="AH722">
        <v>0</v>
      </c>
      <c r="AI722">
        <v>0</v>
      </c>
      <c r="AJ722">
        <v>10</v>
      </c>
      <c r="AK722">
        <v>10</v>
      </c>
      <c r="AL722" t="s">
        <v>74</v>
      </c>
      <c r="AM722" t="s">
        <v>74</v>
      </c>
      <c r="AN722" t="s">
        <v>74</v>
      </c>
      <c r="AO722" t="s">
        <v>9163</v>
      </c>
      <c r="AP722" t="s">
        <v>74</v>
      </c>
      <c r="AQ722" t="s">
        <v>74</v>
      </c>
      <c r="AR722" t="s">
        <v>74</v>
      </c>
      <c r="AS722" t="s">
        <v>74</v>
      </c>
      <c r="AT722" t="s">
        <v>129</v>
      </c>
      <c r="AU722">
        <v>2022</v>
      </c>
      <c r="AV722">
        <v>18</v>
      </c>
      <c r="AW722" t="s">
        <v>74</v>
      </c>
      <c r="AX722" t="s">
        <v>74</v>
      </c>
      <c r="AY722" t="s">
        <v>74</v>
      </c>
      <c r="AZ722" t="s">
        <v>74</v>
      </c>
      <c r="BA722" t="s">
        <v>74</v>
      </c>
      <c r="BB722" t="s">
        <v>74</v>
      </c>
      <c r="BC722" t="s">
        <v>74</v>
      </c>
      <c r="BD722">
        <v>101363</v>
      </c>
      <c r="BE722" t="s">
        <v>9164</v>
      </c>
      <c r="BF722" t="str">
        <f>HYPERLINK("http://dx.doi.org/10.1016/j.tranon.2022.101363","http://dx.doi.org/10.1016/j.tranon.2022.101363")</f>
        <v>http://dx.doi.org/10.1016/j.tranon.2022.101363</v>
      </c>
      <c r="BG722" t="s">
        <v>74</v>
      </c>
      <c r="BH722" t="s">
        <v>74</v>
      </c>
      <c r="BI722" t="s">
        <v>74</v>
      </c>
      <c r="BJ722" t="s">
        <v>146</v>
      </c>
      <c r="BK722" t="s">
        <v>112</v>
      </c>
      <c r="BL722" t="s">
        <v>146</v>
      </c>
      <c r="BM722" t="s">
        <v>74</v>
      </c>
      <c r="BN722">
        <v>35182955</v>
      </c>
      <c r="BO722" t="s">
        <v>74</v>
      </c>
      <c r="BP722" t="s">
        <v>74</v>
      </c>
      <c r="BQ722" t="s">
        <v>74</v>
      </c>
      <c r="BR722" t="s">
        <v>93</v>
      </c>
      <c r="BS722" t="s">
        <v>9165</v>
      </c>
      <c r="BT722" t="str">
        <f>HYPERLINK("https%3A%2F%2Fwww.webofscience.com%2Fwos%2Fwoscc%2Ffull-record%2FWOS:000820837800002","View Full Record in Web of Science")</f>
        <v>View Full Record in Web of Science</v>
      </c>
    </row>
    <row r="723" spans="1:72" x14ac:dyDescent="0.15">
      <c r="A723" t="s">
        <v>72</v>
      </c>
      <c r="B723" t="s">
        <v>9506</v>
      </c>
      <c r="C723" t="s">
        <v>74</v>
      </c>
      <c r="D723" t="s">
        <v>74</v>
      </c>
      <c r="E723" t="s">
        <v>74</v>
      </c>
      <c r="F723" t="s">
        <v>9507</v>
      </c>
      <c r="G723" t="s">
        <v>74</v>
      </c>
      <c r="H723" t="s">
        <v>74</v>
      </c>
      <c r="I723" t="s">
        <v>9508</v>
      </c>
      <c r="J723" t="s">
        <v>992</v>
      </c>
      <c r="K723" t="s">
        <v>74</v>
      </c>
      <c r="L723" t="s">
        <v>74</v>
      </c>
      <c r="M723" t="s">
        <v>74</v>
      </c>
      <c r="N723" t="s">
        <v>78</v>
      </c>
      <c r="O723" t="s">
        <v>74</v>
      </c>
      <c r="P723" t="s">
        <v>74</v>
      </c>
      <c r="Q723" t="s">
        <v>74</v>
      </c>
      <c r="R723" t="s">
        <v>74</v>
      </c>
      <c r="S723" t="s">
        <v>74</v>
      </c>
      <c r="T723" t="s">
        <v>9509</v>
      </c>
      <c r="U723" t="s">
        <v>9510</v>
      </c>
      <c r="V723" t="s">
        <v>9511</v>
      </c>
      <c r="W723" t="s">
        <v>9512</v>
      </c>
      <c r="X723" t="s">
        <v>9513</v>
      </c>
      <c r="Y723" t="s">
        <v>9514</v>
      </c>
      <c r="Z723" t="s">
        <v>9515</v>
      </c>
      <c r="AA723" t="s">
        <v>74</v>
      </c>
      <c r="AB723" t="s">
        <v>74</v>
      </c>
      <c r="AC723" t="s">
        <v>74</v>
      </c>
      <c r="AD723" t="s">
        <v>74</v>
      </c>
      <c r="AE723" t="s">
        <v>74</v>
      </c>
      <c r="AF723" t="s">
        <v>74</v>
      </c>
      <c r="AG723">
        <v>55</v>
      </c>
      <c r="AH723">
        <v>0</v>
      </c>
      <c r="AI723">
        <v>0</v>
      </c>
      <c r="AJ723">
        <v>66</v>
      </c>
      <c r="AK723">
        <v>66</v>
      </c>
      <c r="AL723" t="s">
        <v>74</v>
      </c>
      <c r="AM723" t="s">
        <v>74</v>
      </c>
      <c r="AN723" t="s">
        <v>74</v>
      </c>
      <c r="AO723" t="s">
        <v>1001</v>
      </c>
      <c r="AP723" t="s">
        <v>1002</v>
      </c>
      <c r="AQ723" t="s">
        <v>74</v>
      </c>
      <c r="AR723" t="s">
        <v>74</v>
      </c>
      <c r="AS723" t="s">
        <v>74</v>
      </c>
      <c r="AT723" t="s">
        <v>3728</v>
      </c>
      <c r="AU723">
        <v>2022</v>
      </c>
      <c r="AV723">
        <v>209</v>
      </c>
      <c r="AW723" t="s">
        <v>74</v>
      </c>
      <c r="AX723" t="s">
        <v>74</v>
      </c>
      <c r="AY723" t="s">
        <v>74</v>
      </c>
      <c r="AZ723" t="s">
        <v>74</v>
      </c>
      <c r="BA723" t="s">
        <v>74</v>
      </c>
      <c r="BB723" t="s">
        <v>74</v>
      </c>
      <c r="BC723" t="s">
        <v>74</v>
      </c>
      <c r="BD723">
        <v>114259</v>
      </c>
      <c r="BE723" t="s">
        <v>9516</v>
      </c>
      <c r="BF723" t="str">
        <f>HYPERLINK("http://dx.doi.org/10.1016/j.bios.2022.114259","http://dx.doi.org/10.1016/j.bios.2022.114259")</f>
        <v>http://dx.doi.org/10.1016/j.bios.2022.114259</v>
      </c>
      <c r="BG723" t="s">
        <v>74</v>
      </c>
      <c r="BH723" t="s">
        <v>74</v>
      </c>
      <c r="BI723" t="s">
        <v>74</v>
      </c>
      <c r="BJ723" t="s">
        <v>1006</v>
      </c>
      <c r="BK723" t="s">
        <v>112</v>
      </c>
      <c r="BL723" t="s">
        <v>1007</v>
      </c>
      <c r="BM723" t="s">
        <v>74</v>
      </c>
      <c r="BN723">
        <v>35421672</v>
      </c>
      <c r="BO723" t="s">
        <v>74</v>
      </c>
      <c r="BP723" t="s">
        <v>74</v>
      </c>
      <c r="BQ723" t="s">
        <v>74</v>
      </c>
      <c r="BR723" t="s">
        <v>93</v>
      </c>
      <c r="BS723" t="s">
        <v>9517</v>
      </c>
      <c r="BT723" t="str">
        <f>HYPERLINK("https%3A%2F%2Fwww.webofscience.com%2Fwos%2Fwoscc%2Ffull-record%2FWOS:000797140300006","View Full Record in Web of Science")</f>
        <v>View Full Record in Web of Science</v>
      </c>
    </row>
    <row r="724" spans="1:72" x14ac:dyDescent="0.15">
      <c r="A724" t="s">
        <v>72</v>
      </c>
      <c r="B724" t="s">
        <v>9646</v>
      </c>
      <c r="C724" t="s">
        <v>74</v>
      </c>
      <c r="D724" t="s">
        <v>74</v>
      </c>
      <c r="E724" t="s">
        <v>74</v>
      </c>
      <c r="F724" t="s">
        <v>9647</v>
      </c>
      <c r="G724" t="s">
        <v>74</v>
      </c>
      <c r="H724" t="s">
        <v>74</v>
      </c>
      <c r="I724" t="s">
        <v>9648</v>
      </c>
      <c r="J724" t="s">
        <v>9649</v>
      </c>
      <c r="K724" t="s">
        <v>74</v>
      </c>
      <c r="L724" t="s">
        <v>74</v>
      </c>
      <c r="M724" t="s">
        <v>74</v>
      </c>
      <c r="N724" t="s">
        <v>78</v>
      </c>
      <c r="O724" t="s">
        <v>74</v>
      </c>
      <c r="P724" t="s">
        <v>74</v>
      </c>
      <c r="Q724" t="s">
        <v>74</v>
      </c>
      <c r="R724" t="s">
        <v>74</v>
      </c>
      <c r="S724" t="s">
        <v>74</v>
      </c>
      <c r="T724" t="s">
        <v>9650</v>
      </c>
      <c r="U724" t="s">
        <v>9651</v>
      </c>
      <c r="V724" t="s">
        <v>9652</v>
      </c>
      <c r="W724" t="s">
        <v>9653</v>
      </c>
      <c r="X724" t="s">
        <v>9654</v>
      </c>
      <c r="Y724" t="s">
        <v>9655</v>
      </c>
      <c r="Z724" t="s">
        <v>9656</v>
      </c>
      <c r="AA724" t="s">
        <v>9657</v>
      </c>
      <c r="AB724" t="s">
        <v>9658</v>
      </c>
      <c r="AC724" t="s">
        <v>74</v>
      </c>
      <c r="AD724" t="s">
        <v>74</v>
      </c>
      <c r="AE724" t="s">
        <v>74</v>
      </c>
      <c r="AF724" t="s">
        <v>74</v>
      </c>
      <c r="AG724">
        <v>30</v>
      </c>
      <c r="AH724">
        <v>0</v>
      </c>
      <c r="AI724">
        <v>0</v>
      </c>
      <c r="AJ724">
        <v>1</v>
      </c>
      <c r="AK724">
        <v>3</v>
      </c>
      <c r="AL724" t="s">
        <v>74</v>
      </c>
      <c r="AM724" t="s">
        <v>74</v>
      </c>
      <c r="AN724" t="s">
        <v>74</v>
      </c>
      <c r="AO724" t="s">
        <v>9659</v>
      </c>
      <c r="AP724" t="s">
        <v>74</v>
      </c>
      <c r="AQ724" t="s">
        <v>74</v>
      </c>
      <c r="AR724" t="s">
        <v>74</v>
      </c>
      <c r="AS724" t="s">
        <v>74</v>
      </c>
      <c r="AT724" t="s">
        <v>171</v>
      </c>
      <c r="AU724">
        <v>2021</v>
      </c>
      <c r="AV724">
        <v>11</v>
      </c>
      <c r="AW724">
        <v>12</v>
      </c>
      <c r="AX724" t="s">
        <v>74</v>
      </c>
      <c r="AY724" t="s">
        <v>74</v>
      </c>
      <c r="AZ724" t="s">
        <v>74</v>
      </c>
      <c r="BA724" t="s">
        <v>74</v>
      </c>
      <c r="BB724" t="s">
        <v>74</v>
      </c>
      <c r="BC724" t="s">
        <v>74</v>
      </c>
      <c r="BD724" t="s">
        <v>9660</v>
      </c>
      <c r="BE724" t="s">
        <v>9661</v>
      </c>
      <c r="BF724" t="str">
        <f>HYPERLINK("http://dx.doi.org/10.1136/bmjopen-2021-054256","http://dx.doi.org/10.1136/bmjopen-2021-054256")</f>
        <v>http://dx.doi.org/10.1136/bmjopen-2021-054256</v>
      </c>
      <c r="BG724" t="s">
        <v>74</v>
      </c>
      <c r="BH724" t="s">
        <v>74</v>
      </c>
      <c r="BI724" t="s">
        <v>74</v>
      </c>
      <c r="BJ724" t="s">
        <v>802</v>
      </c>
      <c r="BK724" t="s">
        <v>112</v>
      </c>
      <c r="BL724" t="s">
        <v>803</v>
      </c>
      <c r="BM724" t="s">
        <v>74</v>
      </c>
      <c r="BN724">
        <v>34972769</v>
      </c>
      <c r="BO724" t="s">
        <v>74</v>
      </c>
      <c r="BP724" t="s">
        <v>74</v>
      </c>
      <c r="BQ724" t="s">
        <v>74</v>
      </c>
      <c r="BR724" t="s">
        <v>93</v>
      </c>
      <c r="BS724" t="s">
        <v>9662</v>
      </c>
      <c r="BT724" t="str">
        <f>HYPERLINK("https%3A%2F%2Fwww.webofscience.com%2Fwos%2Fwoscc%2Ffull-record%2FWOS:000737991900006","View Full Record in Web of Science")</f>
        <v>View Full Record in Web of Science</v>
      </c>
    </row>
    <row r="725" spans="1:72" x14ac:dyDescent="0.15">
      <c r="A725" t="s">
        <v>72</v>
      </c>
      <c r="B725" t="s">
        <v>9741</v>
      </c>
      <c r="C725" t="s">
        <v>74</v>
      </c>
      <c r="D725" t="s">
        <v>74</v>
      </c>
      <c r="E725" t="s">
        <v>74</v>
      </c>
      <c r="F725" t="s">
        <v>9742</v>
      </c>
      <c r="G725" t="s">
        <v>74</v>
      </c>
      <c r="H725" t="s">
        <v>74</v>
      </c>
      <c r="I725" t="s">
        <v>9743</v>
      </c>
      <c r="J725" t="s">
        <v>2942</v>
      </c>
      <c r="K725" t="s">
        <v>74</v>
      </c>
      <c r="L725" t="s">
        <v>74</v>
      </c>
      <c r="M725" t="s">
        <v>74</v>
      </c>
      <c r="N725" t="s">
        <v>78</v>
      </c>
      <c r="O725" t="s">
        <v>74</v>
      </c>
      <c r="P725" t="s">
        <v>74</v>
      </c>
      <c r="Q725" t="s">
        <v>74</v>
      </c>
      <c r="R725" t="s">
        <v>74</v>
      </c>
      <c r="S725" t="s">
        <v>74</v>
      </c>
      <c r="T725" t="s">
        <v>74</v>
      </c>
      <c r="U725" t="s">
        <v>9744</v>
      </c>
      <c r="V725" t="s">
        <v>9745</v>
      </c>
      <c r="W725" t="s">
        <v>9746</v>
      </c>
      <c r="X725" t="s">
        <v>9747</v>
      </c>
      <c r="Y725" t="s">
        <v>9748</v>
      </c>
      <c r="Z725" t="s">
        <v>9749</v>
      </c>
      <c r="AA725" t="s">
        <v>9750</v>
      </c>
      <c r="AB725" t="s">
        <v>9751</v>
      </c>
      <c r="AC725" t="s">
        <v>74</v>
      </c>
      <c r="AD725" t="s">
        <v>74</v>
      </c>
      <c r="AE725" t="s">
        <v>74</v>
      </c>
      <c r="AF725" t="s">
        <v>74</v>
      </c>
      <c r="AG725">
        <v>57</v>
      </c>
      <c r="AH725">
        <v>0</v>
      </c>
      <c r="AI725">
        <v>0</v>
      </c>
      <c r="AJ725">
        <v>0</v>
      </c>
      <c r="AK725">
        <v>0</v>
      </c>
      <c r="AL725" t="s">
        <v>74</v>
      </c>
      <c r="AM725" t="s">
        <v>74</v>
      </c>
      <c r="AN725" t="s">
        <v>74</v>
      </c>
      <c r="AO725" t="s">
        <v>74</v>
      </c>
      <c r="AP725" t="s">
        <v>2951</v>
      </c>
      <c r="AQ725" t="s">
        <v>74</v>
      </c>
      <c r="AR725" t="s">
        <v>74</v>
      </c>
      <c r="AS725" t="s">
        <v>74</v>
      </c>
      <c r="AT725" t="s">
        <v>9752</v>
      </c>
      <c r="AU725">
        <v>2022</v>
      </c>
      <c r="AV725">
        <v>5</v>
      </c>
      <c r="AW725">
        <v>1</v>
      </c>
      <c r="AX725" t="s">
        <v>74</v>
      </c>
      <c r="AY725" t="s">
        <v>74</v>
      </c>
      <c r="AZ725" t="s">
        <v>74</v>
      </c>
      <c r="BA725" t="s">
        <v>74</v>
      </c>
      <c r="BB725" t="s">
        <v>74</v>
      </c>
      <c r="BC725" t="s">
        <v>74</v>
      </c>
      <c r="BD725">
        <v>598</v>
      </c>
      <c r="BE725" t="s">
        <v>9753</v>
      </c>
      <c r="BF725" t="str">
        <f>HYPERLINK("http://dx.doi.org/10.1038/s42003-022-03539-x","http://dx.doi.org/10.1038/s42003-022-03539-x")</f>
        <v>http://dx.doi.org/10.1038/s42003-022-03539-x</v>
      </c>
      <c r="BG725" t="s">
        <v>74</v>
      </c>
      <c r="BH725" t="s">
        <v>74</v>
      </c>
      <c r="BI725" t="s">
        <v>74</v>
      </c>
      <c r="BJ725" t="s">
        <v>2954</v>
      </c>
      <c r="BK725" t="s">
        <v>112</v>
      </c>
      <c r="BL725" t="s">
        <v>2955</v>
      </c>
      <c r="BM725" t="s">
        <v>74</v>
      </c>
      <c r="BN725">
        <v>35710947</v>
      </c>
      <c r="BO725" t="s">
        <v>74</v>
      </c>
      <c r="BP725" t="s">
        <v>74</v>
      </c>
      <c r="BQ725" t="s">
        <v>74</v>
      </c>
      <c r="BR725" t="s">
        <v>93</v>
      </c>
      <c r="BS725" t="s">
        <v>9754</v>
      </c>
      <c r="BT725" t="str">
        <f>HYPERLINK("https%3A%2F%2Fwww.webofscience.com%2Fwos%2Fwoscc%2Ffull-record%2FWOS:000812308700006","View Full Record in Web of Science")</f>
        <v>View Full Record in Web of Science</v>
      </c>
    </row>
    <row r="726" spans="1:72" x14ac:dyDescent="0.15">
      <c r="A726" t="s">
        <v>72</v>
      </c>
      <c r="B726" t="s">
        <v>9829</v>
      </c>
      <c r="C726" t="s">
        <v>74</v>
      </c>
      <c r="D726" t="s">
        <v>74</v>
      </c>
      <c r="E726" t="s">
        <v>74</v>
      </c>
      <c r="F726" t="s">
        <v>9830</v>
      </c>
      <c r="G726" t="s">
        <v>74</v>
      </c>
      <c r="H726" t="s">
        <v>74</v>
      </c>
      <c r="I726" t="s">
        <v>9831</v>
      </c>
      <c r="J726" t="s">
        <v>1799</v>
      </c>
      <c r="K726" t="s">
        <v>74</v>
      </c>
      <c r="L726" t="s">
        <v>74</v>
      </c>
      <c r="M726" t="s">
        <v>74</v>
      </c>
      <c r="N726" t="s">
        <v>78</v>
      </c>
      <c r="O726" t="s">
        <v>74</v>
      </c>
      <c r="P726" t="s">
        <v>74</v>
      </c>
      <c r="Q726" t="s">
        <v>74</v>
      </c>
      <c r="R726" t="s">
        <v>74</v>
      </c>
      <c r="S726" t="s">
        <v>74</v>
      </c>
      <c r="T726" t="s">
        <v>9832</v>
      </c>
      <c r="U726" t="s">
        <v>9833</v>
      </c>
      <c r="V726" t="s">
        <v>9834</v>
      </c>
      <c r="W726" t="s">
        <v>9835</v>
      </c>
      <c r="X726" t="s">
        <v>9836</v>
      </c>
      <c r="Y726" t="s">
        <v>9837</v>
      </c>
      <c r="Z726" t="s">
        <v>9838</v>
      </c>
      <c r="AA726" t="s">
        <v>74</v>
      </c>
      <c r="AB726" t="s">
        <v>9839</v>
      </c>
      <c r="AC726" t="s">
        <v>74</v>
      </c>
      <c r="AD726" t="s">
        <v>74</v>
      </c>
      <c r="AE726" t="s">
        <v>74</v>
      </c>
      <c r="AF726" t="s">
        <v>74</v>
      </c>
      <c r="AG726">
        <v>48</v>
      </c>
      <c r="AH726">
        <v>0</v>
      </c>
      <c r="AI726">
        <v>0</v>
      </c>
      <c r="AJ726">
        <v>1</v>
      </c>
      <c r="AK726">
        <v>2</v>
      </c>
      <c r="AL726" t="s">
        <v>74</v>
      </c>
      <c r="AM726" t="s">
        <v>74</v>
      </c>
      <c r="AN726" t="s">
        <v>74</v>
      </c>
      <c r="AO726" t="s">
        <v>1807</v>
      </c>
      <c r="AP726" t="s">
        <v>74</v>
      </c>
      <c r="AQ726" t="s">
        <v>74</v>
      </c>
      <c r="AR726" t="s">
        <v>74</v>
      </c>
      <c r="AS726" t="s">
        <v>74</v>
      </c>
      <c r="AT726" t="s">
        <v>1822</v>
      </c>
      <c r="AU726">
        <v>2021</v>
      </c>
      <c r="AV726">
        <v>12</v>
      </c>
      <c r="AW726" t="s">
        <v>74</v>
      </c>
      <c r="AX726" t="s">
        <v>74</v>
      </c>
      <c r="AY726" t="s">
        <v>74</v>
      </c>
      <c r="AZ726" t="s">
        <v>74</v>
      </c>
      <c r="BA726" t="s">
        <v>74</v>
      </c>
      <c r="BB726" t="s">
        <v>74</v>
      </c>
      <c r="BC726" t="s">
        <v>74</v>
      </c>
      <c r="BD726">
        <v>681974</v>
      </c>
      <c r="BE726" t="s">
        <v>9840</v>
      </c>
      <c r="BF726" t="str">
        <f>HYPERLINK("http://dx.doi.org/10.3389/fendo.2021.681974","http://dx.doi.org/10.3389/fendo.2021.681974")</f>
        <v>http://dx.doi.org/10.3389/fendo.2021.681974</v>
      </c>
      <c r="BG726" t="s">
        <v>74</v>
      </c>
      <c r="BH726" t="s">
        <v>74</v>
      </c>
      <c r="BI726" t="s">
        <v>74</v>
      </c>
      <c r="BJ726" t="s">
        <v>1810</v>
      </c>
      <c r="BK726" t="s">
        <v>112</v>
      </c>
      <c r="BL726" t="s">
        <v>1810</v>
      </c>
      <c r="BM726" t="s">
        <v>74</v>
      </c>
      <c r="BN726">
        <v>34497581</v>
      </c>
      <c r="BO726" t="s">
        <v>74</v>
      </c>
      <c r="BP726" t="s">
        <v>74</v>
      </c>
      <c r="BQ726" t="s">
        <v>74</v>
      </c>
      <c r="BR726" t="s">
        <v>93</v>
      </c>
      <c r="BS726" t="s">
        <v>9841</v>
      </c>
      <c r="BT726" t="str">
        <f>HYPERLINK("https%3A%2F%2Fwww.webofscience.com%2Fwos%2Fwoscc%2Ffull-record%2FWOS:000717575200001","View Full Record in Web of Science")</f>
        <v>View Full Record in Web of Science</v>
      </c>
    </row>
    <row r="727" spans="1:72" x14ac:dyDescent="0.15">
      <c r="A727" t="s">
        <v>72</v>
      </c>
      <c r="B727" t="s">
        <v>9938</v>
      </c>
      <c r="C727" t="s">
        <v>74</v>
      </c>
      <c r="D727" t="s">
        <v>74</v>
      </c>
      <c r="E727" t="s">
        <v>74</v>
      </c>
      <c r="F727" t="s">
        <v>9939</v>
      </c>
      <c r="G727" t="s">
        <v>74</v>
      </c>
      <c r="H727" t="s">
        <v>74</v>
      </c>
      <c r="I727" t="s">
        <v>9940</v>
      </c>
      <c r="J727" t="s">
        <v>992</v>
      </c>
      <c r="K727" t="s">
        <v>74</v>
      </c>
      <c r="L727" t="s">
        <v>74</v>
      </c>
      <c r="M727" t="s">
        <v>74</v>
      </c>
      <c r="N727" t="s">
        <v>78</v>
      </c>
      <c r="O727" t="s">
        <v>74</v>
      </c>
      <c r="P727" t="s">
        <v>74</v>
      </c>
      <c r="Q727" t="s">
        <v>74</v>
      </c>
      <c r="R727" t="s">
        <v>74</v>
      </c>
      <c r="S727" t="s">
        <v>74</v>
      </c>
      <c r="T727" t="s">
        <v>9941</v>
      </c>
      <c r="U727" t="s">
        <v>9942</v>
      </c>
      <c r="V727" t="s">
        <v>9943</v>
      </c>
      <c r="W727" t="s">
        <v>9944</v>
      </c>
      <c r="X727" t="s">
        <v>9945</v>
      </c>
      <c r="Y727" t="s">
        <v>9946</v>
      </c>
      <c r="Z727" t="s">
        <v>9947</v>
      </c>
      <c r="AA727" t="s">
        <v>74</v>
      </c>
      <c r="AB727" t="s">
        <v>9948</v>
      </c>
      <c r="AC727" t="s">
        <v>74</v>
      </c>
      <c r="AD727" t="s">
        <v>74</v>
      </c>
      <c r="AE727" t="s">
        <v>74</v>
      </c>
      <c r="AF727" t="s">
        <v>74</v>
      </c>
      <c r="AG727">
        <v>177</v>
      </c>
      <c r="AH727">
        <v>0</v>
      </c>
      <c r="AI727">
        <v>0</v>
      </c>
      <c r="AJ727">
        <v>18</v>
      </c>
      <c r="AK727">
        <v>18</v>
      </c>
      <c r="AL727" t="s">
        <v>74</v>
      </c>
      <c r="AM727" t="s">
        <v>74</v>
      </c>
      <c r="AN727" t="s">
        <v>74</v>
      </c>
      <c r="AO727" t="s">
        <v>1001</v>
      </c>
      <c r="AP727" t="s">
        <v>1002</v>
      </c>
      <c r="AQ727" t="s">
        <v>74</v>
      </c>
      <c r="AR727" t="s">
        <v>74</v>
      </c>
      <c r="AS727" t="s">
        <v>74</v>
      </c>
      <c r="AT727" t="s">
        <v>364</v>
      </c>
      <c r="AU727">
        <v>2022</v>
      </c>
      <c r="AV727">
        <v>211</v>
      </c>
      <c r="AW727" t="s">
        <v>74</v>
      </c>
      <c r="AX727" t="s">
        <v>74</v>
      </c>
      <c r="AY727" t="s">
        <v>74</v>
      </c>
      <c r="AZ727" t="s">
        <v>74</v>
      </c>
      <c r="BA727" t="s">
        <v>74</v>
      </c>
      <c r="BB727" t="s">
        <v>74</v>
      </c>
      <c r="BC727" t="s">
        <v>74</v>
      </c>
      <c r="BD727">
        <v>114344</v>
      </c>
      <c r="BE727" t="s">
        <v>9949</v>
      </c>
      <c r="BF727" t="str">
        <f>HYPERLINK("http://dx.doi.org/10.1016/j.bios.2022.114344","http://dx.doi.org/10.1016/j.bios.2022.114344")</f>
        <v>http://dx.doi.org/10.1016/j.bios.2022.114344</v>
      </c>
      <c r="BG727" t="s">
        <v>74</v>
      </c>
      <c r="BH727" t="s">
        <v>74</v>
      </c>
      <c r="BI727" t="s">
        <v>74</v>
      </c>
      <c r="BJ727" t="s">
        <v>1006</v>
      </c>
      <c r="BK727" t="s">
        <v>112</v>
      </c>
      <c r="BL727" t="s">
        <v>1007</v>
      </c>
      <c r="BM727" t="s">
        <v>74</v>
      </c>
      <c r="BN727">
        <v>35598553</v>
      </c>
      <c r="BO727" t="s">
        <v>74</v>
      </c>
      <c r="BP727" t="s">
        <v>74</v>
      </c>
      <c r="BQ727" t="s">
        <v>74</v>
      </c>
      <c r="BR727" t="s">
        <v>93</v>
      </c>
      <c r="BS727" t="s">
        <v>9950</v>
      </c>
      <c r="BT727" t="str">
        <f>HYPERLINK("https%3A%2F%2Fwww.webofscience.com%2Fwos%2Fwoscc%2Ffull-record%2FWOS:000806011800005","View Full Record in Web of Science")</f>
        <v>View Full Record in Web of Science</v>
      </c>
    </row>
    <row r="728" spans="1:72" x14ac:dyDescent="0.15">
      <c r="A728" t="s">
        <v>72</v>
      </c>
      <c r="B728" t="s">
        <v>10045</v>
      </c>
      <c r="C728" t="s">
        <v>74</v>
      </c>
      <c r="D728" t="s">
        <v>74</v>
      </c>
      <c r="E728" t="s">
        <v>74</v>
      </c>
      <c r="F728" t="s">
        <v>10046</v>
      </c>
      <c r="G728" t="s">
        <v>74</v>
      </c>
      <c r="H728" t="s">
        <v>74</v>
      </c>
      <c r="I728" t="s">
        <v>10047</v>
      </c>
      <c r="J728" t="s">
        <v>667</v>
      </c>
      <c r="K728" t="s">
        <v>74</v>
      </c>
      <c r="L728" t="s">
        <v>74</v>
      </c>
      <c r="M728" t="s">
        <v>74</v>
      </c>
      <c r="N728" t="s">
        <v>78</v>
      </c>
      <c r="O728" t="s">
        <v>74</v>
      </c>
      <c r="P728" t="s">
        <v>74</v>
      </c>
      <c r="Q728" t="s">
        <v>74</v>
      </c>
      <c r="R728" t="s">
        <v>74</v>
      </c>
      <c r="S728" t="s">
        <v>74</v>
      </c>
      <c r="T728" t="s">
        <v>10048</v>
      </c>
      <c r="U728" t="s">
        <v>10049</v>
      </c>
      <c r="V728" t="s">
        <v>10050</v>
      </c>
      <c r="W728" t="s">
        <v>10051</v>
      </c>
      <c r="X728" t="s">
        <v>10052</v>
      </c>
      <c r="Y728" t="s">
        <v>10053</v>
      </c>
      <c r="Z728" t="s">
        <v>10054</v>
      </c>
      <c r="AA728" t="s">
        <v>10055</v>
      </c>
      <c r="AB728" t="s">
        <v>10056</v>
      </c>
      <c r="AC728" t="s">
        <v>74</v>
      </c>
      <c r="AD728" t="s">
        <v>74</v>
      </c>
      <c r="AE728" t="s">
        <v>74</v>
      </c>
      <c r="AF728" t="s">
        <v>74</v>
      </c>
      <c r="AG728">
        <v>56</v>
      </c>
      <c r="AH728">
        <v>0</v>
      </c>
      <c r="AI728">
        <v>0</v>
      </c>
      <c r="AJ728">
        <v>0</v>
      </c>
      <c r="AK728">
        <v>0</v>
      </c>
      <c r="AL728" t="s">
        <v>74</v>
      </c>
      <c r="AM728" t="s">
        <v>74</v>
      </c>
      <c r="AN728" t="s">
        <v>74</v>
      </c>
      <c r="AO728" t="s">
        <v>74</v>
      </c>
      <c r="AP728" t="s">
        <v>677</v>
      </c>
      <c r="AQ728" t="s">
        <v>74</v>
      </c>
      <c r="AR728" t="s">
        <v>74</v>
      </c>
      <c r="AS728" t="s">
        <v>74</v>
      </c>
      <c r="AT728" t="s">
        <v>88</v>
      </c>
      <c r="AU728">
        <v>2022</v>
      </c>
      <c r="AV728">
        <v>23</v>
      </c>
      <c r="AW728">
        <v>12</v>
      </c>
      <c r="AX728" t="s">
        <v>74</v>
      </c>
      <c r="AY728" t="s">
        <v>74</v>
      </c>
      <c r="AZ728" t="s">
        <v>74</v>
      </c>
      <c r="BA728" t="s">
        <v>74</v>
      </c>
      <c r="BB728" t="s">
        <v>74</v>
      </c>
      <c r="BC728" t="s">
        <v>74</v>
      </c>
      <c r="BD728">
        <v>6513</v>
      </c>
      <c r="BE728" t="s">
        <v>10057</v>
      </c>
      <c r="BF728" t="str">
        <f>HYPERLINK("http://dx.doi.org/10.3390/ijms23126513","http://dx.doi.org/10.3390/ijms23126513")</f>
        <v>http://dx.doi.org/10.3390/ijms23126513</v>
      </c>
      <c r="BG728" t="s">
        <v>74</v>
      </c>
      <c r="BH728" t="s">
        <v>74</v>
      </c>
      <c r="BI728" t="s">
        <v>74</v>
      </c>
      <c r="BJ728" t="s">
        <v>680</v>
      </c>
      <c r="BK728" t="s">
        <v>112</v>
      </c>
      <c r="BL728" t="s">
        <v>681</v>
      </c>
      <c r="BM728" t="s">
        <v>74</v>
      </c>
      <c r="BN728">
        <v>35742955</v>
      </c>
      <c r="BO728" t="s">
        <v>74</v>
      </c>
      <c r="BP728" t="s">
        <v>74</v>
      </c>
      <c r="BQ728" t="s">
        <v>74</v>
      </c>
      <c r="BR728" t="s">
        <v>93</v>
      </c>
      <c r="BS728" t="s">
        <v>10058</v>
      </c>
      <c r="BT728" t="str">
        <f>HYPERLINK("https%3A%2F%2Fwww.webofscience.com%2Fwos%2Fwoscc%2Ffull-record%2FWOS:000816210400001","View Full Record in Web of Science")</f>
        <v>View Full Record in Web of Science</v>
      </c>
    </row>
    <row r="729" spans="1:72" x14ac:dyDescent="0.15">
      <c r="A729" t="s">
        <v>72</v>
      </c>
      <c r="B729" t="s">
        <v>10213</v>
      </c>
      <c r="C729" t="s">
        <v>74</v>
      </c>
      <c r="D729" t="s">
        <v>74</v>
      </c>
      <c r="E729" t="s">
        <v>74</v>
      </c>
      <c r="F729" t="s">
        <v>10214</v>
      </c>
      <c r="G729" t="s">
        <v>74</v>
      </c>
      <c r="H729" t="s">
        <v>74</v>
      </c>
      <c r="I729" t="s">
        <v>10215</v>
      </c>
      <c r="J729" t="s">
        <v>844</v>
      </c>
      <c r="K729" t="s">
        <v>74</v>
      </c>
      <c r="L729" t="s">
        <v>74</v>
      </c>
      <c r="M729" t="s">
        <v>74</v>
      </c>
      <c r="N729" t="s">
        <v>78</v>
      </c>
      <c r="O729" t="s">
        <v>74</v>
      </c>
      <c r="P729" t="s">
        <v>74</v>
      </c>
      <c r="Q729" t="s">
        <v>74</v>
      </c>
      <c r="R729" t="s">
        <v>74</v>
      </c>
      <c r="S729" t="s">
        <v>74</v>
      </c>
      <c r="T729" t="s">
        <v>10216</v>
      </c>
      <c r="U729" t="s">
        <v>10217</v>
      </c>
      <c r="V729" t="s">
        <v>10218</v>
      </c>
      <c r="W729" t="s">
        <v>10219</v>
      </c>
      <c r="X729" t="s">
        <v>10220</v>
      </c>
      <c r="Y729" t="s">
        <v>10221</v>
      </c>
      <c r="Z729" t="s">
        <v>10222</v>
      </c>
      <c r="AA729" t="s">
        <v>74</v>
      </c>
      <c r="AB729" t="s">
        <v>74</v>
      </c>
      <c r="AC729" t="s">
        <v>74</v>
      </c>
      <c r="AD729" t="s">
        <v>74</v>
      </c>
      <c r="AE729" t="s">
        <v>74</v>
      </c>
      <c r="AF729" t="s">
        <v>74</v>
      </c>
      <c r="AG729">
        <v>111</v>
      </c>
      <c r="AH729">
        <v>0</v>
      </c>
      <c r="AI729">
        <v>0</v>
      </c>
      <c r="AJ729">
        <v>0</v>
      </c>
      <c r="AK729">
        <v>0</v>
      </c>
      <c r="AL729" t="s">
        <v>74</v>
      </c>
      <c r="AM729" t="s">
        <v>74</v>
      </c>
      <c r="AN729" t="s">
        <v>74</v>
      </c>
      <c r="AO729" t="s">
        <v>852</v>
      </c>
      <c r="AP729" t="s">
        <v>74</v>
      </c>
      <c r="AQ729" t="s">
        <v>74</v>
      </c>
      <c r="AR729" t="s">
        <v>74</v>
      </c>
      <c r="AS729" t="s">
        <v>74</v>
      </c>
      <c r="AT729" t="s">
        <v>10223</v>
      </c>
      <c r="AU729">
        <v>2022</v>
      </c>
      <c r="AV729">
        <v>10</v>
      </c>
      <c r="AW729" t="s">
        <v>74</v>
      </c>
      <c r="AX729" t="s">
        <v>74</v>
      </c>
      <c r="AY729" t="s">
        <v>74</v>
      </c>
      <c r="AZ729" t="s">
        <v>74</v>
      </c>
      <c r="BA729" t="s">
        <v>74</v>
      </c>
      <c r="BB729" t="s">
        <v>74</v>
      </c>
      <c r="BC729" t="s">
        <v>74</v>
      </c>
      <c r="BD729">
        <v>895433</v>
      </c>
      <c r="BE729" t="s">
        <v>10224</v>
      </c>
      <c r="BF729" t="str">
        <f>HYPERLINK("http://dx.doi.org/10.3389/fcell.2022.895433","http://dx.doi.org/10.3389/fcell.2022.895433")</f>
        <v>http://dx.doi.org/10.3389/fcell.2022.895433</v>
      </c>
      <c r="BG729" t="s">
        <v>74</v>
      </c>
      <c r="BH729" t="s">
        <v>74</v>
      </c>
      <c r="BI729" t="s">
        <v>74</v>
      </c>
      <c r="BJ729" t="s">
        <v>855</v>
      </c>
      <c r="BK729" t="s">
        <v>112</v>
      </c>
      <c r="BL729" t="s">
        <v>855</v>
      </c>
      <c r="BM729" t="s">
        <v>74</v>
      </c>
      <c r="BN729">
        <v>35898402</v>
      </c>
      <c r="BO729" t="s">
        <v>74</v>
      </c>
      <c r="BP729" t="s">
        <v>74</v>
      </c>
      <c r="BQ729" t="s">
        <v>74</v>
      </c>
      <c r="BR729" t="s">
        <v>93</v>
      </c>
      <c r="BS729" t="s">
        <v>10225</v>
      </c>
      <c r="BT729" t="str">
        <f>HYPERLINK("https%3A%2F%2Fwww.webofscience.com%2Fwos%2Fwoscc%2Ffull-record%2FWOS:000830988500001","View Full Record in Web of Science")</f>
        <v>View Full Record in Web of Science</v>
      </c>
    </row>
    <row r="730" spans="1:72" x14ac:dyDescent="0.15">
      <c r="A730" t="s">
        <v>72</v>
      </c>
      <c r="B730" t="s">
        <v>10494</v>
      </c>
      <c r="C730" t="s">
        <v>74</v>
      </c>
      <c r="D730" t="s">
        <v>74</v>
      </c>
      <c r="E730" t="s">
        <v>74</v>
      </c>
      <c r="F730" t="s">
        <v>10495</v>
      </c>
      <c r="G730" t="s">
        <v>74</v>
      </c>
      <c r="H730" t="s">
        <v>74</v>
      </c>
      <c r="I730" t="s">
        <v>10496</v>
      </c>
      <c r="J730" t="s">
        <v>151</v>
      </c>
      <c r="K730" t="s">
        <v>74</v>
      </c>
      <c r="L730" t="s">
        <v>74</v>
      </c>
      <c r="M730" t="s">
        <v>74</v>
      </c>
      <c r="N730" t="s">
        <v>78</v>
      </c>
      <c r="O730" t="s">
        <v>74</v>
      </c>
      <c r="P730" t="s">
        <v>74</v>
      </c>
      <c r="Q730" t="s">
        <v>74</v>
      </c>
      <c r="R730" t="s">
        <v>74</v>
      </c>
      <c r="S730" t="s">
        <v>74</v>
      </c>
      <c r="T730" t="s">
        <v>10497</v>
      </c>
      <c r="U730" t="s">
        <v>10498</v>
      </c>
      <c r="V730" t="s">
        <v>10499</v>
      </c>
      <c r="W730" t="s">
        <v>10500</v>
      </c>
      <c r="X730" t="s">
        <v>10501</v>
      </c>
      <c r="Y730" t="s">
        <v>10502</v>
      </c>
      <c r="Z730" t="s">
        <v>10503</v>
      </c>
      <c r="AA730" t="s">
        <v>74</v>
      </c>
      <c r="AB730" t="s">
        <v>10504</v>
      </c>
      <c r="AC730" t="s">
        <v>74</v>
      </c>
      <c r="AD730" t="s">
        <v>74</v>
      </c>
      <c r="AE730" t="s">
        <v>74</v>
      </c>
      <c r="AF730" t="s">
        <v>74</v>
      </c>
      <c r="AG730">
        <v>94</v>
      </c>
      <c r="AH730">
        <v>0</v>
      </c>
      <c r="AI730">
        <v>0</v>
      </c>
      <c r="AJ730">
        <v>0</v>
      </c>
      <c r="AK730">
        <v>0</v>
      </c>
      <c r="AL730" t="s">
        <v>74</v>
      </c>
      <c r="AM730" t="s">
        <v>74</v>
      </c>
      <c r="AN730" t="s">
        <v>74</v>
      </c>
      <c r="AO730" t="s">
        <v>74</v>
      </c>
      <c r="AP730" t="s">
        <v>160</v>
      </c>
      <c r="AQ730" t="s">
        <v>74</v>
      </c>
      <c r="AR730" t="s">
        <v>74</v>
      </c>
      <c r="AS730" t="s">
        <v>74</v>
      </c>
      <c r="AT730" t="s">
        <v>743</v>
      </c>
      <c r="AU730">
        <v>2022</v>
      </c>
      <c r="AV730">
        <v>14</v>
      </c>
      <c r="AW730">
        <v>6</v>
      </c>
      <c r="AX730" t="s">
        <v>74</v>
      </c>
      <c r="AY730" t="s">
        <v>74</v>
      </c>
      <c r="AZ730" t="s">
        <v>74</v>
      </c>
      <c r="BA730" t="s">
        <v>74</v>
      </c>
      <c r="BB730" t="s">
        <v>74</v>
      </c>
      <c r="BC730" t="s">
        <v>74</v>
      </c>
      <c r="BD730">
        <v>1405</v>
      </c>
      <c r="BE730" t="s">
        <v>10505</v>
      </c>
      <c r="BF730" t="str">
        <f>HYPERLINK("http://dx.doi.org/10.3390/cancers14061405","http://dx.doi.org/10.3390/cancers14061405")</f>
        <v>http://dx.doi.org/10.3390/cancers14061405</v>
      </c>
      <c r="BG730" t="s">
        <v>74</v>
      </c>
      <c r="BH730" t="s">
        <v>74</v>
      </c>
      <c r="BI730" t="s">
        <v>74</v>
      </c>
      <c r="BJ730" t="s">
        <v>146</v>
      </c>
      <c r="BK730" t="s">
        <v>112</v>
      </c>
      <c r="BL730" t="s">
        <v>146</v>
      </c>
      <c r="BM730" t="s">
        <v>74</v>
      </c>
      <c r="BN730">
        <v>35326558</v>
      </c>
      <c r="BO730" t="s">
        <v>74</v>
      </c>
      <c r="BP730" t="s">
        <v>74</v>
      </c>
      <c r="BQ730" t="s">
        <v>74</v>
      </c>
      <c r="BR730" t="s">
        <v>93</v>
      </c>
      <c r="BS730" t="s">
        <v>10506</v>
      </c>
      <c r="BT730" t="str">
        <f>HYPERLINK("https%3A%2F%2Fwww.webofscience.com%2Fwos%2Fwoscc%2Ffull-record%2FWOS:000776967100001","View Full Record in Web of Science")</f>
        <v>View Full Record in Web of Science</v>
      </c>
    </row>
    <row r="731" spans="1:72" x14ac:dyDescent="0.15">
      <c r="A731" t="s">
        <v>72</v>
      </c>
      <c r="B731" t="s">
        <v>10551</v>
      </c>
      <c r="C731" t="s">
        <v>74</v>
      </c>
      <c r="D731" t="s">
        <v>74</v>
      </c>
      <c r="E731" t="s">
        <v>74</v>
      </c>
      <c r="F731" t="s">
        <v>10552</v>
      </c>
      <c r="G731" t="s">
        <v>74</v>
      </c>
      <c r="H731" t="s">
        <v>74</v>
      </c>
      <c r="I731" t="s">
        <v>10553</v>
      </c>
      <c r="J731" t="s">
        <v>10554</v>
      </c>
      <c r="K731" t="s">
        <v>74</v>
      </c>
      <c r="L731" t="s">
        <v>74</v>
      </c>
      <c r="M731" t="s">
        <v>74</v>
      </c>
      <c r="N731" t="s">
        <v>78</v>
      </c>
      <c r="O731" t="s">
        <v>74</v>
      </c>
      <c r="P731" t="s">
        <v>74</v>
      </c>
      <c r="Q731" t="s">
        <v>74</v>
      </c>
      <c r="R731" t="s">
        <v>74</v>
      </c>
      <c r="S731" t="s">
        <v>74</v>
      </c>
      <c r="T731" t="s">
        <v>10555</v>
      </c>
      <c r="U731" t="s">
        <v>6800</v>
      </c>
      <c r="V731" t="s">
        <v>10556</v>
      </c>
      <c r="W731" t="s">
        <v>10557</v>
      </c>
      <c r="X731" t="s">
        <v>10558</v>
      </c>
      <c r="Y731" t="s">
        <v>10559</v>
      </c>
      <c r="Z731" t="s">
        <v>10560</v>
      </c>
      <c r="AA731" t="s">
        <v>74</v>
      </c>
      <c r="AB731" t="s">
        <v>74</v>
      </c>
      <c r="AC731" t="s">
        <v>74</v>
      </c>
      <c r="AD731" t="s">
        <v>74</v>
      </c>
      <c r="AE731" t="s">
        <v>74</v>
      </c>
      <c r="AF731" t="s">
        <v>74</v>
      </c>
      <c r="AG731">
        <v>20</v>
      </c>
      <c r="AH731">
        <v>0</v>
      </c>
      <c r="AI731">
        <v>0</v>
      </c>
      <c r="AJ731">
        <v>0</v>
      </c>
      <c r="AK731">
        <v>0</v>
      </c>
      <c r="AL731" t="s">
        <v>74</v>
      </c>
      <c r="AM731" t="s">
        <v>74</v>
      </c>
      <c r="AN731" t="s">
        <v>74</v>
      </c>
      <c r="AO731" t="s">
        <v>10561</v>
      </c>
      <c r="AP731" t="s">
        <v>74</v>
      </c>
      <c r="AQ731" t="s">
        <v>74</v>
      </c>
      <c r="AR731" t="s">
        <v>74</v>
      </c>
      <c r="AS731" t="s">
        <v>74</v>
      </c>
      <c r="AT731" t="s">
        <v>6793</v>
      </c>
      <c r="AU731">
        <v>2022</v>
      </c>
      <c r="AV731">
        <v>27</v>
      </c>
      <c r="AW731">
        <v>3</v>
      </c>
      <c r="AX731" t="s">
        <v>74</v>
      </c>
      <c r="AY731" t="s">
        <v>74</v>
      </c>
      <c r="AZ731" t="s">
        <v>74</v>
      </c>
      <c r="BA731" t="s">
        <v>74</v>
      </c>
      <c r="BB731" t="s">
        <v>74</v>
      </c>
      <c r="BC731" t="s">
        <v>74</v>
      </c>
      <c r="BD731">
        <v>100688</v>
      </c>
      <c r="BE731" t="s">
        <v>10562</v>
      </c>
      <c r="BF731" t="str">
        <f>HYPERLINK("http://dx.doi.org/10.1016/j.aohep.2022.100688","http://dx.doi.org/10.1016/j.aohep.2022.100688")</f>
        <v>http://dx.doi.org/10.1016/j.aohep.2022.100688</v>
      </c>
      <c r="BG731" t="s">
        <v>74</v>
      </c>
      <c r="BH731" t="s">
        <v>74</v>
      </c>
      <c r="BI731" t="s">
        <v>74</v>
      </c>
      <c r="BJ731" t="s">
        <v>5475</v>
      </c>
      <c r="BK731" t="s">
        <v>112</v>
      </c>
      <c r="BL731" t="s">
        <v>5475</v>
      </c>
      <c r="BM731" t="s">
        <v>74</v>
      </c>
      <c r="BN731">
        <v>35196550</v>
      </c>
      <c r="BO731" t="s">
        <v>74</v>
      </c>
      <c r="BP731" t="s">
        <v>74</v>
      </c>
      <c r="BQ731" t="s">
        <v>74</v>
      </c>
      <c r="BR731" t="s">
        <v>93</v>
      </c>
      <c r="BS731" t="s">
        <v>10563</v>
      </c>
      <c r="BT731" t="str">
        <f>HYPERLINK("https%3A%2F%2Fwww.webofscience.com%2Fwos%2Fwoscc%2Ffull-record%2FWOS:000832717300008","View Full Record in Web of Science")</f>
        <v>View Full Record in Web of Science</v>
      </c>
    </row>
    <row r="732" spans="1:72" x14ac:dyDescent="0.15">
      <c r="A732" t="s">
        <v>72</v>
      </c>
      <c r="B732" t="s">
        <v>10763</v>
      </c>
      <c r="C732" t="s">
        <v>74</v>
      </c>
      <c r="D732" t="s">
        <v>74</v>
      </c>
      <c r="E732" t="s">
        <v>74</v>
      </c>
      <c r="F732" t="s">
        <v>10764</v>
      </c>
      <c r="G732" t="s">
        <v>74</v>
      </c>
      <c r="H732" t="s">
        <v>74</v>
      </c>
      <c r="I732" t="s">
        <v>10765</v>
      </c>
      <c r="J732" t="s">
        <v>10348</v>
      </c>
      <c r="K732" t="s">
        <v>74</v>
      </c>
      <c r="L732" t="s">
        <v>74</v>
      </c>
      <c r="M732" t="s">
        <v>74</v>
      </c>
      <c r="N732" t="s">
        <v>78</v>
      </c>
      <c r="O732" t="s">
        <v>74</v>
      </c>
      <c r="P732" t="s">
        <v>74</v>
      </c>
      <c r="Q732" t="s">
        <v>74</v>
      </c>
      <c r="R732" t="s">
        <v>74</v>
      </c>
      <c r="S732" t="s">
        <v>74</v>
      </c>
      <c r="T732" t="s">
        <v>10766</v>
      </c>
      <c r="U732" t="s">
        <v>10767</v>
      </c>
      <c r="V732" t="s">
        <v>10768</v>
      </c>
      <c r="W732" t="s">
        <v>10769</v>
      </c>
      <c r="X732" t="s">
        <v>10770</v>
      </c>
      <c r="Y732" t="s">
        <v>10771</v>
      </c>
      <c r="Z732" t="s">
        <v>10772</v>
      </c>
      <c r="AA732" t="s">
        <v>74</v>
      </c>
      <c r="AB732" t="s">
        <v>10773</v>
      </c>
      <c r="AC732" t="s">
        <v>74</v>
      </c>
      <c r="AD732" t="s">
        <v>74</v>
      </c>
      <c r="AE732" t="s">
        <v>74</v>
      </c>
      <c r="AF732" t="s">
        <v>74</v>
      </c>
      <c r="AG732">
        <v>245</v>
      </c>
      <c r="AH732">
        <v>0</v>
      </c>
      <c r="AI732">
        <v>0</v>
      </c>
      <c r="AJ732">
        <v>3</v>
      </c>
      <c r="AK732">
        <v>10</v>
      </c>
      <c r="AL732" t="s">
        <v>74</v>
      </c>
      <c r="AM732" t="s">
        <v>74</v>
      </c>
      <c r="AN732" t="s">
        <v>74</v>
      </c>
      <c r="AO732" t="s">
        <v>10356</v>
      </c>
      <c r="AP732" t="s">
        <v>10357</v>
      </c>
      <c r="AQ732" t="s">
        <v>74</v>
      </c>
      <c r="AR732" t="s">
        <v>74</v>
      </c>
      <c r="AS732" t="s">
        <v>74</v>
      </c>
      <c r="AT732" t="s">
        <v>818</v>
      </c>
      <c r="AU732">
        <v>2021</v>
      </c>
      <c r="AV732">
        <v>57</v>
      </c>
      <c r="AW732">
        <v>8</v>
      </c>
      <c r="AX732" t="s">
        <v>74</v>
      </c>
      <c r="AY732" t="s">
        <v>74</v>
      </c>
      <c r="AZ732" t="s">
        <v>74</v>
      </c>
      <c r="BA732" t="s">
        <v>74</v>
      </c>
      <c r="BB732" t="s">
        <v>74</v>
      </c>
      <c r="BC732" t="s">
        <v>74</v>
      </c>
      <c r="BD732">
        <v>739</v>
      </c>
      <c r="BE732" t="s">
        <v>10774</v>
      </c>
      <c r="BF732" t="str">
        <f>HYPERLINK("http://dx.doi.org/10.3390/medicina57080739","http://dx.doi.org/10.3390/medicina57080739")</f>
        <v>http://dx.doi.org/10.3390/medicina57080739</v>
      </c>
      <c r="BG732" t="s">
        <v>74</v>
      </c>
      <c r="BH732" t="s">
        <v>74</v>
      </c>
      <c r="BI732" t="s">
        <v>74</v>
      </c>
      <c r="BJ732" t="s">
        <v>802</v>
      </c>
      <c r="BK732" t="s">
        <v>112</v>
      </c>
      <c r="BL732" t="s">
        <v>803</v>
      </c>
      <c r="BM732" t="s">
        <v>74</v>
      </c>
      <c r="BN732">
        <v>34440945</v>
      </c>
      <c r="BO732" t="s">
        <v>74</v>
      </c>
      <c r="BP732" t="s">
        <v>74</v>
      </c>
      <c r="BQ732" t="s">
        <v>74</v>
      </c>
      <c r="BR732" t="s">
        <v>93</v>
      </c>
      <c r="BS732" t="s">
        <v>10775</v>
      </c>
      <c r="BT732" t="str">
        <f>HYPERLINK("https%3A%2F%2Fwww.webofscience.com%2Fwos%2Fwoscc%2Ffull-record%2FWOS:000689605000001","View Full Record in Web of Science")</f>
        <v>View Full Record in Web of Science</v>
      </c>
    </row>
    <row r="733" spans="1:72" x14ac:dyDescent="0.15">
      <c r="A733" t="s">
        <v>72</v>
      </c>
      <c r="B733" t="s">
        <v>10839</v>
      </c>
      <c r="C733" t="s">
        <v>74</v>
      </c>
      <c r="D733" t="s">
        <v>74</v>
      </c>
      <c r="E733" t="s">
        <v>74</v>
      </c>
      <c r="F733" t="s">
        <v>10840</v>
      </c>
      <c r="G733" t="s">
        <v>74</v>
      </c>
      <c r="H733" t="s">
        <v>74</v>
      </c>
      <c r="I733" t="s">
        <v>10841</v>
      </c>
      <c r="J733" t="s">
        <v>10842</v>
      </c>
      <c r="K733" t="s">
        <v>74</v>
      </c>
      <c r="L733" t="s">
        <v>74</v>
      </c>
      <c r="M733" t="s">
        <v>74</v>
      </c>
      <c r="N733" t="s">
        <v>78</v>
      </c>
      <c r="O733" t="s">
        <v>74</v>
      </c>
      <c r="P733" t="s">
        <v>74</v>
      </c>
      <c r="Q733" t="s">
        <v>74</v>
      </c>
      <c r="R733" t="s">
        <v>74</v>
      </c>
      <c r="S733" t="s">
        <v>74</v>
      </c>
      <c r="T733" t="s">
        <v>10843</v>
      </c>
      <c r="U733" t="s">
        <v>10844</v>
      </c>
      <c r="V733" t="s">
        <v>10845</v>
      </c>
      <c r="W733" t="s">
        <v>10846</v>
      </c>
      <c r="X733" t="s">
        <v>10847</v>
      </c>
      <c r="Y733" t="s">
        <v>10848</v>
      </c>
      <c r="Z733" t="s">
        <v>10849</v>
      </c>
      <c r="AA733" t="s">
        <v>74</v>
      </c>
      <c r="AB733" t="s">
        <v>10850</v>
      </c>
      <c r="AC733" t="s">
        <v>74</v>
      </c>
      <c r="AD733" t="s">
        <v>74</v>
      </c>
      <c r="AE733" t="s">
        <v>74</v>
      </c>
      <c r="AF733" t="s">
        <v>74</v>
      </c>
      <c r="AG733">
        <v>86</v>
      </c>
      <c r="AH733">
        <v>0</v>
      </c>
      <c r="AI733">
        <v>0</v>
      </c>
      <c r="AJ733">
        <v>0</v>
      </c>
      <c r="AK733">
        <v>5</v>
      </c>
      <c r="AL733" t="s">
        <v>74</v>
      </c>
      <c r="AM733" t="s">
        <v>74</v>
      </c>
      <c r="AN733" t="s">
        <v>74</v>
      </c>
      <c r="AO733" t="s">
        <v>10851</v>
      </c>
      <c r="AP733" t="s">
        <v>10852</v>
      </c>
      <c r="AQ733" t="s">
        <v>74</v>
      </c>
      <c r="AR733" t="s">
        <v>74</v>
      </c>
      <c r="AS733" t="s">
        <v>74</v>
      </c>
      <c r="AT733" t="s">
        <v>659</v>
      </c>
      <c r="AU733">
        <v>2016</v>
      </c>
      <c r="AV733">
        <v>3</v>
      </c>
      <c r="AW733">
        <v>3</v>
      </c>
      <c r="AX733" t="s">
        <v>74</v>
      </c>
      <c r="AY733" t="s">
        <v>74</v>
      </c>
      <c r="AZ733" t="s">
        <v>74</v>
      </c>
      <c r="BA733" t="s">
        <v>74</v>
      </c>
      <c r="BB733">
        <v>195</v>
      </c>
      <c r="BC733">
        <v>205</v>
      </c>
      <c r="BD733" t="s">
        <v>74</v>
      </c>
      <c r="BE733" t="s">
        <v>10853</v>
      </c>
      <c r="BF733" t="str">
        <f>HYPERLINK("http://dx.doi.org/10.2217/mmt-2016-0008","http://dx.doi.org/10.2217/mmt-2016-0008")</f>
        <v>http://dx.doi.org/10.2217/mmt-2016-0008</v>
      </c>
      <c r="BG733" t="s">
        <v>74</v>
      </c>
      <c r="BH733" t="s">
        <v>74</v>
      </c>
      <c r="BI733" t="s">
        <v>74</v>
      </c>
      <c r="BJ733" t="s">
        <v>146</v>
      </c>
      <c r="BK733" t="s">
        <v>91</v>
      </c>
      <c r="BL733" t="s">
        <v>146</v>
      </c>
      <c r="BM733" t="s">
        <v>74</v>
      </c>
      <c r="BN733">
        <v>30190889</v>
      </c>
      <c r="BO733" t="s">
        <v>74</v>
      </c>
      <c r="BP733" t="s">
        <v>74</v>
      </c>
      <c r="BQ733" t="s">
        <v>74</v>
      </c>
      <c r="BR733" t="s">
        <v>93</v>
      </c>
      <c r="BS733" t="s">
        <v>10854</v>
      </c>
      <c r="BT733" t="str">
        <f>HYPERLINK("https%3A%2F%2Fwww.webofscience.com%2Fwos%2Fwoscc%2Ffull-record%2FWOS:000393637000006","View Full Record in Web of Science")</f>
        <v>View Full Record in Web of Science</v>
      </c>
    </row>
    <row r="734" spans="1:72" x14ac:dyDescent="0.15">
      <c r="A734" t="s">
        <v>72</v>
      </c>
      <c r="B734" t="s">
        <v>10855</v>
      </c>
      <c r="C734" t="s">
        <v>74</v>
      </c>
      <c r="D734" t="s">
        <v>74</v>
      </c>
      <c r="E734" t="s">
        <v>74</v>
      </c>
      <c r="F734" t="s">
        <v>10856</v>
      </c>
      <c r="G734" t="s">
        <v>74</v>
      </c>
      <c r="H734" t="s">
        <v>74</v>
      </c>
      <c r="I734" t="s">
        <v>10857</v>
      </c>
      <c r="J734" t="s">
        <v>1085</v>
      </c>
      <c r="K734" t="s">
        <v>74</v>
      </c>
      <c r="L734" t="s">
        <v>74</v>
      </c>
      <c r="M734" t="s">
        <v>74</v>
      </c>
      <c r="N734" t="s">
        <v>78</v>
      </c>
      <c r="O734" t="s">
        <v>74</v>
      </c>
      <c r="P734" t="s">
        <v>74</v>
      </c>
      <c r="Q734" t="s">
        <v>74</v>
      </c>
      <c r="R734" t="s">
        <v>74</v>
      </c>
      <c r="S734" t="s">
        <v>74</v>
      </c>
      <c r="T734" t="s">
        <v>10858</v>
      </c>
      <c r="U734" t="s">
        <v>10859</v>
      </c>
      <c r="V734" t="s">
        <v>10860</v>
      </c>
      <c r="W734" t="s">
        <v>10861</v>
      </c>
      <c r="X734" t="s">
        <v>10862</v>
      </c>
      <c r="Y734" t="s">
        <v>10863</v>
      </c>
      <c r="Z734" t="s">
        <v>10864</v>
      </c>
      <c r="AA734" t="s">
        <v>74</v>
      </c>
      <c r="AB734" t="s">
        <v>74</v>
      </c>
      <c r="AC734" t="s">
        <v>74</v>
      </c>
      <c r="AD734" t="s">
        <v>74</v>
      </c>
      <c r="AE734" t="s">
        <v>74</v>
      </c>
      <c r="AF734" t="s">
        <v>74</v>
      </c>
      <c r="AG734">
        <v>93</v>
      </c>
      <c r="AH734">
        <v>0</v>
      </c>
      <c r="AI734">
        <v>0</v>
      </c>
      <c r="AJ734">
        <v>6</v>
      </c>
      <c r="AK734">
        <v>6</v>
      </c>
      <c r="AL734" t="s">
        <v>74</v>
      </c>
      <c r="AM734" t="s">
        <v>74</v>
      </c>
      <c r="AN734" t="s">
        <v>74</v>
      </c>
      <c r="AO734" t="s">
        <v>1094</v>
      </c>
      <c r="AP734" t="s">
        <v>74</v>
      </c>
      <c r="AQ734" t="s">
        <v>74</v>
      </c>
      <c r="AR734" t="s">
        <v>74</v>
      </c>
      <c r="AS734" t="s">
        <v>74</v>
      </c>
      <c r="AT734" t="s">
        <v>74</v>
      </c>
      <c r="AU734">
        <v>2022</v>
      </c>
      <c r="AV734">
        <v>12</v>
      </c>
      <c r="AW734">
        <v>7</v>
      </c>
      <c r="AX734" t="s">
        <v>74</v>
      </c>
      <c r="AY734" t="s">
        <v>74</v>
      </c>
      <c r="AZ734" t="s">
        <v>74</v>
      </c>
      <c r="BA734" t="s">
        <v>74</v>
      </c>
      <c r="BB734">
        <v>3104</v>
      </c>
      <c r="BC734">
        <v>3130</v>
      </c>
      <c r="BD734" t="s">
        <v>74</v>
      </c>
      <c r="BE734" t="s">
        <v>10865</v>
      </c>
      <c r="BF734" t="str">
        <f>HYPERLINK("http://dx.doi.org/10.7150/thno.69590","http://dx.doi.org/10.7150/thno.69590")</f>
        <v>http://dx.doi.org/10.7150/thno.69590</v>
      </c>
      <c r="BG734" t="s">
        <v>74</v>
      </c>
      <c r="BH734" t="s">
        <v>74</v>
      </c>
      <c r="BI734" t="s">
        <v>74</v>
      </c>
      <c r="BJ734" t="s">
        <v>506</v>
      </c>
      <c r="BK734" t="s">
        <v>112</v>
      </c>
      <c r="BL734" t="s">
        <v>507</v>
      </c>
      <c r="BM734" t="s">
        <v>74</v>
      </c>
      <c r="BN734">
        <v>35547750</v>
      </c>
      <c r="BO734" t="s">
        <v>74</v>
      </c>
      <c r="BP734" t="s">
        <v>74</v>
      </c>
      <c r="BQ734" t="s">
        <v>74</v>
      </c>
      <c r="BR734" t="s">
        <v>93</v>
      </c>
      <c r="BS734" t="s">
        <v>10866</v>
      </c>
      <c r="BT734" t="str">
        <f>HYPERLINK("https%3A%2F%2Fwww.webofscience.com%2Fwos%2Fwoscc%2Ffull-record%2FWOS:000786579800007","View Full Record in Web of Science")</f>
        <v>View Full Record in Web of Science</v>
      </c>
    </row>
    <row r="735" spans="1:72" x14ac:dyDescent="0.15">
      <c r="A735" t="s">
        <v>72</v>
      </c>
      <c r="B735" t="s">
        <v>11073</v>
      </c>
      <c r="C735" t="s">
        <v>74</v>
      </c>
      <c r="D735" t="s">
        <v>74</v>
      </c>
      <c r="E735" t="s">
        <v>74</v>
      </c>
      <c r="F735" t="s">
        <v>11074</v>
      </c>
      <c r="G735" t="s">
        <v>74</v>
      </c>
      <c r="H735" t="s">
        <v>74</v>
      </c>
      <c r="I735" t="s">
        <v>11075</v>
      </c>
      <c r="J735" t="s">
        <v>11076</v>
      </c>
      <c r="K735" t="s">
        <v>74</v>
      </c>
      <c r="L735" t="s">
        <v>74</v>
      </c>
      <c r="M735" t="s">
        <v>74</v>
      </c>
      <c r="N735" t="s">
        <v>78</v>
      </c>
      <c r="O735" t="s">
        <v>74</v>
      </c>
      <c r="P735" t="s">
        <v>74</v>
      </c>
      <c r="Q735" t="s">
        <v>74</v>
      </c>
      <c r="R735" t="s">
        <v>74</v>
      </c>
      <c r="S735" t="s">
        <v>74</v>
      </c>
      <c r="T735" t="s">
        <v>11077</v>
      </c>
      <c r="U735" t="s">
        <v>11078</v>
      </c>
      <c r="V735" t="s">
        <v>11079</v>
      </c>
      <c r="W735" t="s">
        <v>11080</v>
      </c>
      <c r="X735" t="s">
        <v>11081</v>
      </c>
      <c r="Y735" t="s">
        <v>11082</v>
      </c>
      <c r="Z735" t="s">
        <v>11083</v>
      </c>
      <c r="AA735" t="s">
        <v>11084</v>
      </c>
      <c r="AB735" t="s">
        <v>11085</v>
      </c>
      <c r="AC735" t="s">
        <v>74</v>
      </c>
      <c r="AD735" t="s">
        <v>74</v>
      </c>
      <c r="AE735" t="s">
        <v>74</v>
      </c>
      <c r="AF735" t="s">
        <v>74</v>
      </c>
      <c r="AG735">
        <v>92</v>
      </c>
      <c r="AH735">
        <v>0</v>
      </c>
      <c r="AI735">
        <v>0</v>
      </c>
      <c r="AJ735">
        <v>4</v>
      </c>
      <c r="AK735">
        <v>4</v>
      </c>
      <c r="AL735" t="s">
        <v>74</v>
      </c>
      <c r="AM735" t="s">
        <v>74</v>
      </c>
      <c r="AN735" t="s">
        <v>74</v>
      </c>
      <c r="AO735" t="s">
        <v>11086</v>
      </c>
      <c r="AP735" t="s">
        <v>11087</v>
      </c>
      <c r="AQ735" t="s">
        <v>74</v>
      </c>
      <c r="AR735" t="s">
        <v>74</v>
      </c>
      <c r="AS735" t="s">
        <v>74</v>
      </c>
      <c r="AT735" t="s">
        <v>11088</v>
      </c>
      <c r="AU735">
        <v>2022</v>
      </c>
      <c r="AV735">
        <v>21</v>
      </c>
      <c r="AW735">
        <v>1</v>
      </c>
      <c r="AX735" t="s">
        <v>74</v>
      </c>
      <c r="AY735" t="s">
        <v>74</v>
      </c>
      <c r="AZ735" t="s">
        <v>74</v>
      </c>
      <c r="BA735" t="s">
        <v>74</v>
      </c>
      <c r="BB735">
        <v>30</v>
      </c>
      <c r="BC735">
        <v>48</v>
      </c>
      <c r="BD735" t="s">
        <v>74</v>
      </c>
      <c r="BE735" t="s">
        <v>11089</v>
      </c>
      <c r="BF735" t="str">
        <f>HYPERLINK("http://dx.doi.org/10.1021/acs.jproteome.1c00244","http://dx.doi.org/10.1021/acs.jproteome.1c00244")</f>
        <v>http://dx.doi.org/10.1021/acs.jproteome.1c00244</v>
      </c>
      <c r="BG735" t="s">
        <v>74</v>
      </c>
      <c r="BH735" t="s">
        <v>74</v>
      </c>
      <c r="BI735" t="s">
        <v>74</v>
      </c>
      <c r="BJ735" t="s">
        <v>90</v>
      </c>
      <c r="BK735" t="s">
        <v>112</v>
      </c>
      <c r="BL735" t="s">
        <v>92</v>
      </c>
      <c r="BM735" t="s">
        <v>74</v>
      </c>
      <c r="BN735">
        <v>34806897</v>
      </c>
      <c r="BO735" t="s">
        <v>74</v>
      </c>
      <c r="BP735" t="s">
        <v>74</v>
      </c>
      <c r="BQ735" t="s">
        <v>74</v>
      </c>
      <c r="BR735" t="s">
        <v>93</v>
      </c>
      <c r="BS735" t="s">
        <v>11090</v>
      </c>
      <c r="BT735" t="str">
        <f>HYPERLINK("https%3A%2F%2Fwww.webofscience.com%2Fwos%2Fwoscc%2Ffull-record%2FWOS:000744097700005","View Full Record in Web of Science")</f>
        <v>View Full Record in Web of Science</v>
      </c>
    </row>
  </sheetData>
  <sortState xmlns:xlrd2="http://schemas.microsoft.com/office/spreadsheetml/2017/richdata2" ref="A2:BT735">
    <sortCondition descending="1" ref="AH1:AH735"/>
  </sortState>
  <pageMargins left="0.75" right="0.75" top="1" bottom="1" header="0.5" footer="0.5"/>
  <pageSetup orientation="portrait"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430"/>
  <sheetViews>
    <sheetView workbookViewId="0">
      <selection activeCell="I414" sqref="I414"/>
    </sheetView>
  </sheetViews>
  <sheetFormatPr baseColWidth="10" defaultRowHeight="13" x14ac:dyDescent="0.15"/>
  <sheetData>
    <row r="1" spans="1:11" x14ac:dyDescent="0.15">
      <c r="A1" t="s">
        <v>11119</v>
      </c>
      <c r="B1" t="s">
        <v>11120</v>
      </c>
      <c r="C1" t="s">
        <v>1</v>
      </c>
      <c r="D1" t="s">
        <v>11121</v>
      </c>
      <c r="E1" t="s">
        <v>11122</v>
      </c>
      <c r="F1" t="s">
        <v>11123</v>
      </c>
      <c r="G1" t="s">
        <v>46</v>
      </c>
      <c r="H1" t="s">
        <v>11124</v>
      </c>
      <c r="I1" t="s">
        <v>11125</v>
      </c>
      <c r="J1" t="s">
        <v>11126</v>
      </c>
      <c r="K1" t="s">
        <v>56</v>
      </c>
    </row>
    <row r="2" spans="1:11" x14ac:dyDescent="0.15">
      <c r="A2">
        <v>30951670</v>
      </c>
      <c r="B2" t="s">
        <v>2864</v>
      </c>
      <c r="C2" t="s">
        <v>11127</v>
      </c>
      <c r="D2" t="s">
        <v>11128</v>
      </c>
      <c r="E2" t="s">
        <v>11129</v>
      </c>
      <c r="F2" t="s">
        <v>11130</v>
      </c>
      <c r="G2">
        <v>2019</v>
      </c>
      <c r="H2">
        <v>43561</v>
      </c>
      <c r="I2" t="s">
        <v>11131</v>
      </c>
      <c r="J2" t="s">
        <v>11132</v>
      </c>
      <c r="K2" t="s">
        <v>2876</v>
      </c>
    </row>
    <row r="3" spans="1:11" x14ac:dyDescent="0.15">
      <c r="A3">
        <v>33548389</v>
      </c>
      <c r="B3" t="s">
        <v>11133</v>
      </c>
      <c r="C3" t="s">
        <v>11134</v>
      </c>
      <c r="D3" t="s">
        <v>11135</v>
      </c>
      <c r="E3" t="s">
        <v>11136</v>
      </c>
      <c r="F3" t="s">
        <v>11137</v>
      </c>
      <c r="G3">
        <v>2021</v>
      </c>
      <c r="H3">
        <v>44233</v>
      </c>
      <c r="I3" t="s">
        <v>11138</v>
      </c>
      <c r="J3" t="s">
        <v>11139</v>
      </c>
      <c r="K3" t="s">
        <v>11140</v>
      </c>
    </row>
    <row r="4" spans="1:11" x14ac:dyDescent="0.15">
      <c r="A4">
        <v>32457507</v>
      </c>
      <c r="B4" t="s">
        <v>11141</v>
      </c>
      <c r="C4" t="s">
        <v>11142</v>
      </c>
      <c r="D4" t="s">
        <v>11143</v>
      </c>
      <c r="E4" t="s">
        <v>11144</v>
      </c>
      <c r="F4" t="s">
        <v>11145</v>
      </c>
      <c r="G4">
        <v>2020</v>
      </c>
      <c r="H4">
        <v>43979</v>
      </c>
      <c r="I4" t="s">
        <v>11146</v>
      </c>
      <c r="K4" t="s">
        <v>11147</v>
      </c>
    </row>
    <row r="5" spans="1:11" x14ac:dyDescent="0.15">
      <c r="A5">
        <v>28875730</v>
      </c>
      <c r="B5" t="s">
        <v>11148</v>
      </c>
      <c r="C5" t="s">
        <v>11149</v>
      </c>
      <c r="D5" t="s">
        <v>11150</v>
      </c>
      <c r="E5" t="s">
        <v>11151</v>
      </c>
      <c r="F5" t="s">
        <v>11152</v>
      </c>
      <c r="G5">
        <v>2017</v>
      </c>
      <c r="H5">
        <v>42985</v>
      </c>
      <c r="I5" t="s">
        <v>11153</v>
      </c>
      <c r="J5" t="s">
        <v>11154</v>
      </c>
      <c r="K5" t="s">
        <v>11155</v>
      </c>
    </row>
    <row r="6" spans="1:11" x14ac:dyDescent="0.15">
      <c r="A6">
        <v>33355987</v>
      </c>
      <c r="B6" t="s">
        <v>276</v>
      </c>
      <c r="C6" t="s">
        <v>11156</v>
      </c>
      <c r="D6" t="s">
        <v>11157</v>
      </c>
      <c r="E6" t="s">
        <v>11158</v>
      </c>
      <c r="F6" t="s">
        <v>11159</v>
      </c>
      <c r="G6">
        <v>2021</v>
      </c>
      <c r="H6">
        <v>44193</v>
      </c>
      <c r="I6" t="s">
        <v>11160</v>
      </c>
      <c r="K6" t="s">
        <v>290</v>
      </c>
    </row>
    <row r="7" spans="1:11" x14ac:dyDescent="0.15">
      <c r="A7">
        <v>34331845</v>
      </c>
      <c r="B7" t="s">
        <v>11161</v>
      </c>
      <c r="C7" t="s">
        <v>11162</v>
      </c>
      <c r="D7" t="s">
        <v>11163</v>
      </c>
      <c r="E7" t="s">
        <v>11164</v>
      </c>
      <c r="F7" t="s">
        <v>11165</v>
      </c>
      <c r="G7">
        <v>2021</v>
      </c>
      <c r="H7">
        <v>44408</v>
      </c>
      <c r="I7" t="s">
        <v>11166</v>
      </c>
      <c r="K7" t="s">
        <v>11167</v>
      </c>
    </row>
    <row r="8" spans="1:11" x14ac:dyDescent="0.15">
      <c r="A8">
        <v>32685026</v>
      </c>
      <c r="B8" t="s">
        <v>11168</v>
      </c>
      <c r="C8" t="s">
        <v>11169</v>
      </c>
      <c r="D8" t="s">
        <v>11170</v>
      </c>
      <c r="E8" t="s">
        <v>11171</v>
      </c>
      <c r="F8" t="s">
        <v>11172</v>
      </c>
      <c r="G8">
        <v>2020</v>
      </c>
      <c r="H8">
        <v>44033</v>
      </c>
      <c r="I8" t="s">
        <v>11173</v>
      </c>
      <c r="K8" t="s">
        <v>11174</v>
      </c>
    </row>
    <row r="9" spans="1:11" x14ac:dyDescent="0.15">
      <c r="A9">
        <v>31666668</v>
      </c>
      <c r="B9" t="s">
        <v>11175</v>
      </c>
      <c r="C9" t="s">
        <v>11176</v>
      </c>
      <c r="D9" t="s">
        <v>11177</v>
      </c>
      <c r="E9" t="s">
        <v>11178</v>
      </c>
      <c r="F9" t="s">
        <v>11179</v>
      </c>
      <c r="G9">
        <v>2020</v>
      </c>
      <c r="H9">
        <v>43770</v>
      </c>
      <c r="I9" t="s">
        <v>11180</v>
      </c>
      <c r="K9" t="s">
        <v>11181</v>
      </c>
    </row>
    <row r="10" spans="1:11" x14ac:dyDescent="0.15">
      <c r="A10">
        <v>31152821</v>
      </c>
      <c r="B10" t="s">
        <v>11182</v>
      </c>
      <c r="C10" t="s">
        <v>11183</v>
      </c>
      <c r="D10" t="s">
        <v>11184</v>
      </c>
      <c r="E10" t="s">
        <v>11185</v>
      </c>
      <c r="F10" t="s">
        <v>11186</v>
      </c>
      <c r="G10">
        <v>2019</v>
      </c>
      <c r="H10">
        <v>43618</v>
      </c>
      <c r="I10" t="s">
        <v>11187</v>
      </c>
      <c r="J10" t="s">
        <v>11188</v>
      </c>
      <c r="K10" t="s">
        <v>11189</v>
      </c>
    </row>
    <row r="11" spans="1:11" x14ac:dyDescent="0.15">
      <c r="A11">
        <v>32170015</v>
      </c>
      <c r="B11" t="s">
        <v>9125</v>
      </c>
      <c r="C11" t="s">
        <v>11190</v>
      </c>
      <c r="D11" t="s">
        <v>11191</v>
      </c>
      <c r="E11" t="s">
        <v>11192</v>
      </c>
      <c r="F11" t="s">
        <v>11193</v>
      </c>
      <c r="G11">
        <v>2020</v>
      </c>
      <c r="H11">
        <v>43905</v>
      </c>
      <c r="I11" t="s">
        <v>11194</v>
      </c>
      <c r="K11" t="s">
        <v>9135</v>
      </c>
    </row>
    <row r="12" spans="1:11" x14ac:dyDescent="0.15">
      <c r="A12">
        <v>34672606</v>
      </c>
      <c r="B12" t="s">
        <v>11195</v>
      </c>
      <c r="C12" t="s">
        <v>11196</v>
      </c>
      <c r="D12" t="s">
        <v>11197</v>
      </c>
      <c r="E12" t="s">
        <v>11198</v>
      </c>
      <c r="F12" t="s">
        <v>11199</v>
      </c>
      <c r="G12">
        <v>2021</v>
      </c>
      <c r="H12">
        <v>44490</v>
      </c>
      <c r="K12" t="s">
        <v>11200</v>
      </c>
    </row>
    <row r="13" spans="1:11" x14ac:dyDescent="0.15">
      <c r="A13">
        <v>29795272</v>
      </c>
      <c r="B13" t="s">
        <v>11201</v>
      </c>
      <c r="C13" t="s">
        <v>11202</v>
      </c>
      <c r="D13" t="s">
        <v>11203</v>
      </c>
      <c r="E13" t="s">
        <v>11204</v>
      </c>
      <c r="F13" t="s">
        <v>11205</v>
      </c>
      <c r="G13">
        <v>2018</v>
      </c>
      <c r="H13">
        <v>43246</v>
      </c>
      <c r="K13" t="s">
        <v>11206</v>
      </c>
    </row>
    <row r="14" spans="1:11" x14ac:dyDescent="0.15">
      <c r="A14">
        <v>31799396</v>
      </c>
      <c r="B14" t="s">
        <v>4492</v>
      </c>
      <c r="C14" t="s">
        <v>11207</v>
      </c>
      <c r="D14" t="s">
        <v>11208</v>
      </c>
      <c r="E14" t="s">
        <v>11209</v>
      </c>
      <c r="F14" t="s">
        <v>11210</v>
      </c>
      <c r="G14">
        <v>2019</v>
      </c>
      <c r="H14">
        <v>43804</v>
      </c>
      <c r="I14" t="s">
        <v>11211</v>
      </c>
      <c r="K14" t="s">
        <v>4503</v>
      </c>
    </row>
    <row r="15" spans="1:11" x14ac:dyDescent="0.15">
      <c r="A15">
        <v>29582582</v>
      </c>
      <c r="B15" t="s">
        <v>10331</v>
      </c>
      <c r="C15" t="s">
        <v>11212</v>
      </c>
      <c r="D15" t="s">
        <v>11213</v>
      </c>
      <c r="E15" t="s">
        <v>11214</v>
      </c>
      <c r="F15" t="s">
        <v>11215</v>
      </c>
      <c r="G15">
        <v>2018</v>
      </c>
      <c r="H15">
        <v>43187</v>
      </c>
      <c r="I15" t="s">
        <v>11216</v>
      </c>
      <c r="K15" t="s">
        <v>10341</v>
      </c>
    </row>
    <row r="16" spans="1:11" x14ac:dyDescent="0.15">
      <c r="A16">
        <v>34453041</v>
      </c>
      <c r="B16" t="s">
        <v>5355</v>
      </c>
      <c r="C16" t="s">
        <v>11217</v>
      </c>
      <c r="D16" t="s">
        <v>11218</v>
      </c>
      <c r="E16" t="s">
        <v>11219</v>
      </c>
      <c r="F16" t="s">
        <v>11220</v>
      </c>
      <c r="G16">
        <v>2021</v>
      </c>
      <c r="H16">
        <v>44436</v>
      </c>
      <c r="I16" t="s">
        <v>11221</v>
      </c>
      <c r="K16" t="s">
        <v>5366</v>
      </c>
    </row>
    <row r="17" spans="1:11" x14ac:dyDescent="0.15">
      <c r="A17">
        <v>33783474</v>
      </c>
      <c r="B17" t="s">
        <v>11222</v>
      </c>
      <c r="C17" t="s">
        <v>11223</v>
      </c>
      <c r="D17" t="s">
        <v>11224</v>
      </c>
      <c r="E17" t="s">
        <v>11225</v>
      </c>
      <c r="F17" t="s">
        <v>11226</v>
      </c>
      <c r="G17">
        <v>2021</v>
      </c>
      <c r="H17">
        <v>44285</v>
      </c>
      <c r="I17" t="s">
        <v>11227</v>
      </c>
      <c r="K17" t="s">
        <v>11228</v>
      </c>
    </row>
    <row r="18" spans="1:11" x14ac:dyDescent="0.15">
      <c r="A18">
        <v>30240661</v>
      </c>
      <c r="B18" t="s">
        <v>7782</v>
      </c>
      <c r="C18" t="s">
        <v>11229</v>
      </c>
      <c r="D18" t="s">
        <v>11230</v>
      </c>
      <c r="E18" t="s">
        <v>11231</v>
      </c>
      <c r="F18" t="s">
        <v>11232</v>
      </c>
      <c r="G18">
        <v>2019</v>
      </c>
      <c r="H18">
        <v>43365</v>
      </c>
      <c r="I18" t="s">
        <v>11233</v>
      </c>
      <c r="J18" t="s">
        <v>11234</v>
      </c>
      <c r="K18" t="s">
        <v>7791</v>
      </c>
    </row>
    <row r="19" spans="1:11" x14ac:dyDescent="0.15">
      <c r="A19">
        <v>29513618</v>
      </c>
      <c r="B19" t="s">
        <v>11235</v>
      </c>
      <c r="C19" t="s">
        <v>11236</v>
      </c>
      <c r="D19" t="s">
        <v>11237</v>
      </c>
      <c r="E19" t="s">
        <v>11238</v>
      </c>
      <c r="F19" t="s">
        <v>11239</v>
      </c>
      <c r="G19">
        <v>2018</v>
      </c>
      <c r="H19">
        <v>43167</v>
      </c>
      <c r="I19" t="s">
        <v>11240</v>
      </c>
      <c r="K19" t="s">
        <v>11241</v>
      </c>
    </row>
    <row r="20" spans="1:11" x14ac:dyDescent="0.15">
      <c r="A20">
        <v>31228184</v>
      </c>
      <c r="B20" t="s">
        <v>11242</v>
      </c>
      <c r="C20" t="s">
        <v>11243</v>
      </c>
      <c r="D20" t="s">
        <v>11244</v>
      </c>
      <c r="E20" t="s">
        <v>11245</v>
      </c>
      <c r="F20" t="s">
        <v>11137</v>
      </c>
      <c r="G20">
        <v>2019</v>
      </c>
      <c r="H20">
        <v>43639</v>
      </c>
      <c r="K20" t="s">
        <v>11246</v>
      </c>
    </row>
    <row r="21" spans="1:11" x14ac:dyDescent="0.15">
      <c r="A21">
        <v>27882925</v>
      </c>
      <c r="B21" t="s">
        <v>11247</v>
      </c>
      <c r="C21" t="s">
        <v>11248</v>
      </c>
      <c r="D21" t="s">
        <v>11249</v>
      </c>
      <c r="E21" t="s">
        <v>11250</v>
      </c>
      <c r="F21" t="s">
        <v>11251</v>
      </c>
      <c r="G21">
        <v>2016</v>
      </c>
      <c r="H21">
        <v>42699</v>
      </c>
      <c r="I21" t="s">
        <v>11252</v>
      </c>
      <c r="K21" t="s">
        <v>11253</v>
      </c>
    </row>
    <row r="22" spans="1:11" x14ac:dyDescent="0.15">
      <c r="A22">
        <v>34388259</v>
      </c>
      <c r="B22" t="s">
        <v>11254</v>
      </c>
      <c r="C22" t="s">
        <v>11255</v>
      </c>
      <c r="D22" t="s">
        <v>11256</v>
      </c>
      <c r="E22" t="s">
        <v>11257</v>
      </c>
      <c r="F22" t="s">
        <v>11258</v>
      </c>
      <c r="G22">
        <v>2022</v>
      </c>
      <c r="H22">
        <v>44421</v>
      </c>
      <c r="I22" t="s">
        <v>11259</v>
      </c>
      <c r="K22" t="s">
        <v>11260</v>
      </c>
    </row>
    <row r="23" spans="1:11" x14ac:dyDescent="0.15">
      <c r="A23">
        <v>23663360</v>
      </c>
      <c r="B23" t="s">
        <v>5185</v>
      </c>
      <c r="C23" t="s">
        <v>11261</v>
      </c>
      <c r="D23" t="s">
        <v>11262</v>
      </c>
      <c r="E23" t="s">
        <v>11263</v>
      </c>
      <c r="F23" t="s">
        <v>11264</v>
      </c>
      <c r="G23">
        <v>2013</v>
      </c>
      <c r="H23">
        <v>41408</v>
      </c>
      <c r="I23" t="s">
        <v>11265</v>
      </c>
      <c r="K23" t="s">
        <v>5196</v>
      </c>
    </row>
    <row r="24" spans="1:11" x14ac:dyDescent="0.15">
      <c r="A24">
        <v>23949796</v>
      </c>
      <c r="B24" t="s">
        <v>11266</v>
      </c>
      <c r="C24" t="s">
        <v>11267</v>
      </c>
      <c r="D24" t="s">
        <v>11268</v>
      </c>
      <c r="E24" t="s">
        <v>11269</v>
      </c>
      <c r="F24" t="s">
        <v>11270</v>
      </c>
      <c r="G24">
        <v>2013</v>
      </c>
      <c r="H24">
        <v>41503</v>
      </c>
      <c r="I24" t="s">
        <v>11271</v>
      </c>
      <c r="K24" t="s">
        <v>9222</v>
      </c>
    </row>
    <row r="25" spans="1:11" x14ac:dyDescent="0.15">
      <c r="A25">
        <v>29556344</v>
      </c>
      <c r="B25" t="s">
        <v>11272</v>
      </c>
      <c r="C25" t="s">
        <v>11273</v>
      </c>
      <c r="D25" t="s">
        <v>11274</v>
      </c>
      <c r="E25" t="s">
        <v>11275</v>
      </c>
      <c r="F25" t="s">
        <v>11172</v>
      </c>
      <c r="G25">
        <v>2018</v>
      </c>
      <c r="H25">
        <v>43180</v>
      </c>
      <c r="I25" t="s">
        <v>11276</v>
      </c>
      <c r="K25" t="s">
        <v>11277</v>
      </c>
    </row>
    <row r="26" spans="1:11" x14ac:dyDescent="0.15">
      <c r="A26">
        <v>21098229</v>
      </c>
      <c r="B26" t="s">
        <v>11278</v>
      </c>
      <c r="C26" t="s">
        <v>11279</v>
      </c>
      <c r="D26" t="s">
        <v>11280</v>
      </c>
      <c r="E26" t="s">
        <v>11281</v>
      </c>
      <c r="F26" t="s">
        <v>11282</v>
      </c>
      <c r="G26">
        <v>2010</v>
      </c>
      <c r="H26">
        <v>40507</v>
      </c>
      <c r="K26" t="s">
        <v>6364</v>
      </c>
    </row>
    <row r="27" spans="1:11" x14ac:dyDescent="0.15">
      <c r="A27">
        <v>32446697</v>
      </c>
      <c r="B27" t="s">
        <v>5461</v>
      </c>
      <c r="C27" t="s">
        <v>11283</v>
      </c>
      <c r="D27" t="s">
        <v>11284</v>
      </c>
      <c r="E27" t="s">
        <v>11285</v>
      </c>
      <c r="F27" t="s">
        <v>11232</v>
      </c>
      <c r="G27">
        <v>2020</v>
      </c>
      <c r="H27">
        <v>43976</v>
      </c>
      <c r="K27" t="s">
        <v>5474</v>
      </c>
    </row>
    <row r="28" spans="1:11" x14ac:dyDescent="0.15">
      <c r="A28">
        <v>33945510</v>
      </c>
      <c r="B28" t="s">
        <v>7611</v>
      </c>
      <c r="C28" t="s">
        <v>11286</v>
      </c>
      <c r="D28" t="s">
        <v>11287</v>
      </c>
      <c r="E28" t="s">
        <v>11288</v>
      </c>
      <c r="F28" t="s">
        <v>11289</v>
      </c>
      <c r="G28">
        <v>2021</v>
      </c>
      <c r="H28">
        <v>44320</v>
      </c>
      <c r="I28" t="s">
        <v>11290</v>
      </c>
      <c r="K28" t="s">
        <v>7624</v>
      </c>
    </row>
    <row r="29" spans="1:11" x14ac:dyDescent="0.15">
      <c r="A29">
        <v>21430775</v>
      </c>
      <c r="B29" t="s">
        <v>11291</v>
      </c>
      <c r="C29" t="s">
        <v>11292</v>
      </c>
      <c r="D29" t="s">
        <v>11293</v>
      </c>
      <c r="E29" t="s">
        <v>11294</v>
      </c>
      <c r="F29" t="s">
        <v>11295</v>
      </c>
      <c r="G29">
        <v>2011</v>
      </c>
      <c r="H29">
        <v>40627</v>
      </c>
      <c r="I29" t="s">
        <v>11296</v>
      </c>
      <c r="J29" t="s">
        <v>11297</v>
      </c>
      <c r="K29" t="s">
        <v>11298</v>
      </c>
    </row>
    <row r="30" spans="1:11" x14ac:dyDescent="0.15">
      <c r="A30">
        <v>32929219</v>
      </c>
      <c r="B30" t="s">
        <v>9757</v>
      </c>
      <c r="C30" t="s">
        <v>11299</v>
      </c>
      <c r="D30" t="s">
        <v>11300</v>
      </c>
      <c r="E30" t="s">
        <v>11301</v>
      </c>
      <c r="F30" t="s">
        <v>11302</v>
      </c>
      <c r="G30">
        <v>2021</v>
      </c>
      <c r="H30">
        <v>44089</v>
      </c>
      <c r="I30" t="s">
        <v>11303</v>
      </c>
      <c r="K30" t="s">
        <v>9767</v>
      </c>
    </row>
    <row r="31" spans="1:11" x14ac:dyDescent="0.15">
      <c r="A31">
        <v>34158841</v>
      </c>
      <c r="B31" t="s">
        <v>1084</v>
      </c>
      <c r="C31" t="s">
        <v>11304</v>
      </c>
      <c r="D31" t="s">
        <v>11305</v>
      </c>
      <c r="E31" t="s">
        <v>11306</v>
      </c>
      <c r="F31" t="s">
        <v>11172</v>
      </c>
      <c r="G31">
        <v>2021</v>
      </c>
      <c r="H31">
        <v>44370</v>
      </c>
      <c r="I31" t="s">
        <v>11307</v>
      </c>
      <c r="K31" t="s">
        <v>1095</v>
      </c>
    </row>
    <row r="32" spans="1:11" x14ac:dyDescent="0.15">
      <c r="A32">
        <v>34773243</v>
      </c>
      <c r="B32" t="s">
        <v>11308</v>
      </c>
      <c r="C32" t="s">
        <v>11309</v>
      </c>
      <c r="D32" t="s">
        <v>11310</v>
      </c>
      <c r="E32" t="s">
        <v>11311</v>
      </c>
      <c r="F32" t="s">
        <v>11312</v>
      </c>
      <c r="G32">
        <v>2022</v>
      </c>
      <c r="H32">
        <v>44513</v>
      </c>
      <c r="K32" t="s">
        <v>11313</v>
      </c>
    </row>
    <row r="33" spans="1:11" x14ac:dyDescent="0.15">
      <c r="A33">
        <v>34160815</v>
      </c>
      <c r="B33" t="s">
        <v>551</v>
      </c>
      <c r="C33" t="s">
        <v>11314</v>
      </c>
      <c r="D33" t="s">
        <v>11315</v>
      </c>
      <c r="E33" t="s">
        <v>11316</v>
      </c>
      <c r="F33" t="s">
        <v>11317</v>
      </c>
      <c r="G33">
        <v>2021</v>
      </c>
      <c r="H33">
        <v>44370</v>
      </c>
      <c r="K33" t="s">
        <v>562</v>
      </c>
    </row>
    <row r="34" spans="1:11" x14ac:dyDescent="0.15">
      <c r="A34">
        <v>29668342</v>
      </c>
      <c r="B34" t="s">
        <v>11318</v>
      </c>
      <c r="C34" t="s">
        <v>11319</v>
      </c>
      <c r="D34" t="s">
        <v>11320</v>
      </c>
      <c r="E34" t="s">
        <v>11321</v>
      </c>
      <c r="F34" t="s">
        <v>11322</v>
      </c>
      <c r="G34">
        <v>2018</v>
      </c>
      <c r="H34">
        <v>43209</v>
      </c>
      <c r="K34" t="s">
        <v>11323</v>
      </c>
    </row>
    <row r="35" spans="1:11" x14ac:dyDescent="0.15">
      <c r="A35">
        <v>33666501</v>
      </c>
      <c r="B35" t="s">
        <v>11324</v>
      </c>
      <c r="C35" t="s">
        <v>11325</v>
      </c>
      <c r="D35" t="s">
        <v>11326</v>
      </c>
      <c r="E35" t="s">
        <v>11327</v>
      </c>
      <c r="F35" t="s">
        <v>11328</v>
      </c>
      <c r="G35">
        <v>2021</v>
      </c>
      <c r="H35">
        <v>44260</v>
      </c>
      <c r="I35" t="s">
        <v>11329</v>
      </c>
      <c r="K35" t="s">
        <v>11330</v>
      </c>
    </row>
    <row r="36" spans="1:11" x14ac:dyDescent="0.15">
      <c r="A36">
        <v>21049390</v>
      </c>
      <c r="B36" t="s">
        <v>11331</v>
      </c>
      <c r="C36" t="s">
        <v>11332</v>
      </c>
      <c r="D36" t="s">
        <v>11333</v>
      </c>
      <c r="E36" t="s">
        <v>11334</v>
      </c>
      <c r="F36" t="s">
        <v>11335</v>
      </c>
      <c r="G36">
        <v>2010</v>
      </c>
      <c r="H36">
        <v>40487</v>
      </c>
      <c r="K36" t="s">
        <v>5134</v>
      </c>
    </row>
    <row r="37" spans="1:11" x14ac:dyDescent="0.15">
      <c r="A37">
        <v>33420990</v>
      </c>
      <c r="B37" t="s">
        <v>457</v>
      </c>
      <c r="C37" t="s">
        <v>11336</v>
      </c>
      <c r="D37" t="s">
        <v>11337</v>
      </c>
      <c r="E37" t="s">
        <v>11338</v>
      </c>
      <c r="F37" t="s">
        <v>11317</v>
      </c>
      <c r="G37">
        <v>2021</v>
      </c>
      <c r="H37">
        <v>44205</v>
      </c>
      <c r="K37" t="s">
        <v>467</v>
      </c>
    </row>
    <row r="38" spans="1:11" x14ac:dyDescent="0.15">
      <c r="A38">
        <v>33137926</v>
      </c>
      <c r="B38" t="s">
        <v>11339</v>
      </c>
      <c r="C38" t="s">
        <v>11340</v>
      </c>
      <c r="D38" t="s">
        <v>11341</v>
      </c>
      <c r="E38" t="s">
        <v>11342</v>
      </c>
      <c r="F38" t="s">
        <v>11343</v>
      </c>
      <c r="G38">
        <v>2020</v>
      </c>
      <c r="H38">
        <v>44138</v>
      </c>
      <c r="I38" t="s">
        <v>11344</v>
      </c>
      <c r="K38" t="s">
        <v>11345</v>
      </c>
    </row>
    <row r="39" spans="1:11" x14ac:dyDescent="0.15">
      <c r="A39">
        <v>32903777</v>
      </c>
      <c r="B39" t="s">
        <v>11346</v>
      </c>
      <c r="C39" t="s">
        <v>11347</v>
      </c>
      <c r="D39" t="s">
        <v>11348</v>
      </c>
      <c r="E39" t="s">
        <v>11349</v>
      </c>
      <c r="F39" t="s">
        <v>11350</v>
      </c>
      <c r="G39">
        <v>2020</v>
      </c>
      <c r="H39">
        <v>44083</v>
      </c>
      <c r="I39" t="s">
        <v>11351</v>
      </c>
      <c r="K39" t="s">
        <v>11352</v>
      </c>
    </row>
    <row r="40" spans="1:11" x14ac:dyDescent="0.15">
      <c r="A40">
        <v>33918465</v>
      </c>
      <c r="B40" t="s">
        <v>338</v>
      </c>
      <c r="C40" t="s">
        <v>11353</v>
      </c>
      <c r="D40" t="s">
        <v>11354</v>
      </c>
      <c r="E40" t="s">
        <v>11355</v>
      </c>
      <c r="F40" t="s">
        <v>11343</v>
      </c>
      <c r="G40">
        <v>2021</v>
      </c>
      <c r="H40">
        <v>44316</v>
      </c>
      <c r="I40" t="s">
        <v>11356</v>
      </c>
      <c r="K40" t="s">
        <v>348</v>
      </c>
    </row>
    <row r="41" spans="1:11" x14ac:dyDescent="0.15">
      <c r="A41">
        <v>32781015</v>
      </c>
      <c r="B41" t="s">
        <v>11357</v>
      </c>
      <c r="C41" t="s">
        <v>11358</v>
      </c>
      <c r="D41" t="s">
        <v>11359</v>
      </c>
      <c r="E41" t="s">
        <v>11360</v>
      </c>
      <c r="F41" t="s">
        <v>11361</v>
      </c>
      <c r="G41">
        <v>2020</v>
      </c>
      <c r="H41">
        <v>44055</v>
      </c>
      <c r="K41" t="s">
        <v>11362</v>
      </c>
    </row>
    <row r="42" spans="1:11" x14ac:dyDescent="0.15">
      <c r="A42">
        <v>31828924</v>
      </c>
      <c r="B42" t="s">
        <v>11363</v>
      </c>
      <c r="C42" t="s">
        <v>11364</v>
      </c>
      <c r="D42" t="s">
        <v>11365</v>
      </c>
      <c r="E42" t="s">
        <v>11366</v>
      </c>
      <c r="F42" t="s">
        <v>11367</v>
      </c>
      <c r="G42">
        <v>2020</v>
      </c>
      <c r="H42">
        <v>43812</v>
      </c>
      <c r="I42" t="s">
        <v>11368</v>
      </c>
      <c r="J42" t="s">
        <v>11369</v>
      </c>
      <c r="K42" t="s">
        <v>11370</v>
      </c>
    </row>
    <row r="43" spans="1:11" x14ac:dyDescent="0.15">
      <c r="A43">
        <v>32231660</v>
      </c>
      <c r="B43" t="s">
        <v>11371</v>
      </c>
      <c r="C43" t="s">
        <v>11372</v>
      </c>
      <c r="D43" t="s">
        <v>11373</v>
      </c>
      <c r="E43" t="s">
        <v>11374</v>
      </c>
      <c r="F43" t="s">
        <v>11350</v>
      </c>
      <c r="G43">
        <v>2020</v>
      </c>
      <c r="H43">
        <v>43923</v>
      </c>
      <c r="I43" t="s">
        <v>11375</v>
      </c>
      <c r="K43" t="s">
        <v>11376</v>
      </c>
    </row>
    <row r="44" spans="1:11" x14ac:dyDescent="0.15">
      <c r="A44">
        <v>26369507</v>
      </c>
      <c r="B44" t="s">
        <v>11377</v>
      </c>
      <c r="C44" t="s">
        <v>11378</v>
      </c>
      <c r="D44" t="s">
        <v>11379</v>
      </c>
      <c r="E44" t="s">
        <v>11380</v>
      </c>
      <c r="F44" t="s">
        <v>11381</v>
      </c>
      <c r="G44">
        <v>2015</v>
      </c>
      <c r="H44">
        <v>42263</v>
      </c>
      <c r="K44" t="s">
        <v>11382</v>
      </c>
    </row>
    <row r="45" spans="1:11" x14ac:dyDescent="0.15">
      <c r="A45">
        <v>29904278</v>
      </c>
      <c r="B45" t="s">
        <v>11383</v>
      </c>
      <c r="C45" t="s">
        <v>11384</v>
      </c>
      <c r="D45" t="s">
        <v>11385</v>
      </c>
      <c r="E45" t="s">
        <v>11386</v>
      </c>
      <c r="F45" t="s">
        <v>11387</v>
      </c>
      <c r="G45">
        <v>2018</v>
      </c>
      <c r="H45">
        <v>43267</v>
      </c>
      <c r="I45" t="s">
        <v>11388</v>
      </c>
      <c r="K45" t="s">
        <v>11389</v>
      </c>
    </row>
    <row r="46" spans="1:11" x14ac:dyDescent="0.15">
      <c r="A46">
        <v>32980480</v>
      </c>
      <c r="B46" t="s">
        <v>3081</v>
      </c>
      <c r="C46" t="s">
        <v>11390</v>
      </c>
      <c r="D46" t="s">
        <v>11391</v>
      </c>
      <c r="E46" t="s">
        <v>11392</v>
      </c>
      <c r="F46" t="s">
        <v>11393</v>
      </c>
      <c r="G46">
        <v>2020</v>
      </c>
      <c r="H46">
        <v>44101</v>
      </c>
      <c r="I46" t="s">
        <v>11394</v>
      </c>
      <c r="J46" t="s">
        <v>11395</v>
      </c>
      <c r="K46" t="s">
        <v>3093</v>
      </c>
    </row>
    <row r="47" spans="1:11" x14ac:dyDescent="0.15">
      <c r="A47">
        <v>34454680</v>
      </c>
      <c r="B47" t="s">
        <v>646</v>
      </c>
      <c r="C47" t="s">
        <v>11396</v>
      </c>
      <c r="D47" t="s">
        <v>11397</v>
      </c>
      <c r="E47" t="s">
        <v>11398</v>
      </c>
      <c r="F47" t="s">
        <v>11399</v>
      </c>
      <c r="G47">
        <v>2021</v>
      </c>
      <c r="H47">
        <v>44437</v>
      </c>
      <c r="K47" t="s">
        <v>660</v>
      </c>
    </row>
    <row r="48" spans="1:11" x14ac:dyDescent="0.15">
      <c r="A48">
        <v>32067543</v>
      </c>
      <c r="B48" t="s">
        <v>11400</v>
      </c>
      <c r="C48" t="s">
        <v>11401</v>
      </c>
      <c r="D48" t="s">
        <v>11402</v>
      </c>
      <c r="E48" t="s">
        <v>11403</v>
      </c>
      <c r="F48" t="s">
        <v>11152</v>
      </c>
      <c r="G48">
        <v>2020</v>
      </c>
      <c r="H48">
        <v>43880</v>
      </c>
      <c r="I48" t="s">
        <v>11404</v>
      </c>
      <c r="J48" t="s">
        <v>11405</v>
      </c>
      <c r="K48" t="s">
        <v>11406</v>
      </c>
    </row>
    <row r="49" spans="1:11" x14ac:dyDescent="0.15">
      <c r="A49">
        <v>34080172</v>
      </c>
      <c r="B49" t="s">
        <v>6022</v>
      </c>
      <c r="C49" t="s">
        <v>11407</v>
      </c>
      <c r="D49" t="s">
        <v>11408</v>
      </c>
      <c r="E49" t="s">
        <v>11409</v>
      </c>
      <c r="F49" t="s">
        <v>11312</v>
      </c>
      <c r="G49">
        <v>2021</v>
      </c>
      <c r="H49">
        <v>44350</v>
      </c>
      <c r="K49" t="s">
        <v>6033</v>
      </c>
    </row>
    <row r="50" spans="1:11" x14ac:dyDescent="0.15">
      <c r="A50">
        <v>33565967</v>
      </c>
      <c r="B50" t="s">
        <v>11410</v>
      </c>
      <c r="C50" t="s">
        <v>11411</v>
      </c>
      <c r="D50" t="s">
        <v>11412</v>
      </c>
      <c r="E50" t="s">
        <v>11413</v>
      </c>
      <c r="F50" t="s">
        <v>11414</v>
      </c>
      <c r="G50">
        <v>2020</v>
      </c>
      <c r="H50">
        <v>44237</v>
      </c>
      <c r="K50" t="s">
        <v>11415</v>
      </c>
    </row>
    <row r="51" spans="1:11" x14ac:dyDescent="0.15">
      <c r="A51">
        <v>31475741</v>
      </c>
      <c r="B51" t="s">
        <v>775</v>
      </c>
      <c r="C51" t="s">
        <v>11416</v>
      </c>
      <c r="D51" t="s">
        <v>11417</v>
      </c>
      <c r="E51" t="s">
        <v>11418</v>
      </c>
      <c r="F51" t="s">
        <v>11419</v>
      </c>
      <c r="G51">
        <v>2019</v>
      </c>
      <c r="H51">
        <v>43711</v>
      </c>
      <c r="K51" t="s">
        <v>784</v>
      </c>
    </row>
    <row r="52" spans="1:11" x14ac:dyDescent="0.15">
      <c r="A52">
        <v>29374476</v>
      </c>
      <c r="B52" t="s">
        <v>176</v>
      </c>
      <c r="C52" t="s">
        <v>11420</v>
      </c>
      <c r="D52" t="s">
        <v>11421</v>
      </c>
      <c r="E52" t="s">
        <v>11422</v>
      </c>
      <c r="F52" t="s">
        <v>11423</v>
      </c>
      <c r="G52">
        <v>2018</v>
      </c>
      <c r="H52">
        <v>43129</v>
      </c>
      <c r="I52" t="s">
        <v>11424</v>
      </c>
      <c r="K52" t="s">
        <v>187</v>
      </c>
    </row>
    <row r="53" spans="1:11" x14ac:dyDescent="0.15">
      <c r="A53">
        <v>31891869</v>
      </c>
      <c r="B53" t="s">
        <v>11425</v>
      </c>
      <c r="C53" t="s">
        <v>11426</v>
      </c>
      <c r="D53" t="s">
        <v>11427</v>
      </c>
      <c r="E53" t="s">
        <v>11428</v>
      </c>
      <c r="F53" t="s">
        <v>11429</v>
      </c>
      <c r="G53">
        <v>2020</v>
      </c>
      <c r="H53">
        <v>43831</v>
      </c>
      <c r="K53" t="s">
        <v>11430</v>
      </c>
    </row>
    <row r="54" spans="1:11" x14ac:dyDescent="0.15">
      <c r="A54">
        <v>28833502</v>
      </c>
      <c r="B54" t="s">
        <v>11431</v>
      </c>
      <c r="C54" t="s">
        <v>11432</v>
      </c>
      <c r="D54" t="s">
        <v>11433</v>
      </c>
      <c r="E54" t="s">
        <v>11434</v>
      </c>
      <c r="F54" t="s">
        <v>11435</v>
      </c>
      <c r="G54">
        <v>2018</v>
      </c>
      <c r="H54">
        <v>42971</v>
      </c>
      <c r="K54" t="s">
        <v>11436</v>
      </c>
    </row>
    <row r="55" spans="1:11" x14ac:dyDescent="0.15">
      <c r="A55">
        <v>32766689</v>
      </c>
      <c r="B55" t="s">
        <v>11437</v>
      </c>
      <c r="C55" t="s">
        <v>11438</v>
      </c>
      <c r="D55" t="s">
        <v>11439</v>
      </c>
      <c r="E55" t="s">
        <v>11440</v>
      </c>
      <c r="F55" t="s">
        <v>11441</v>
      </c>
      <c r="G55">
        <v>2020</v>
      </c>
      <c r="H55">
        <v>44052</v>
      </c>
      <c r="I55" t="s">
        <v>11442</v>
      </c>
      <c r="K55" t="s">
        <v>11443</v>
      </c>
    </row>
    <row r="56" spans="1:11" x14ac:dyDescent="0.15">
      <c r="A56">
        <v>31631581</v>
      </c>
      <c r="B56" t="s">
        <v>11444</v>
      </c>
      <c r="C56" t="s">
        <v>11445</v>
      </c>
      <c r="D56" t="s">
        <v>11446</v>
      </c>
      <c r="E56" t="s">
        <v>11447</v>
      </c>
      <c r="F56" t="s">
        <v>11448</v>
      </c>
      <c r="G56">
        <v>2020</v>
      </c>
      <c r="H56">
        <v>43760</v>
      </c>
      <c r="K56" t="s">
        <v>11449</v>
      </c>
    </row>
    <row r="57" spans="1:11" x14ac:dyDescent="0.15">
      <c r="A57">
        <v>33769802</v>
      </c>
      <c r="B57" t="s">
        <v>2563</v>
      </c>
      <c r="C57" t="s">
        <v>11450</v>
      </c>
      <c r="D57" t="s">
        <v>11451</v>
      </c>
      <c r="E57" t="s">
        <v>11452</v>
      </c>
      <c r="F57" t="s">
        <v>11453</v>
      </c>
      <c r="G57">
        <v>2021</v>
      </c>
      <c r="H57">
        <v>44281</v>
      </c>
      <c r="K57" t="s">
        <v>2572</v>
      </c>
    </row>
    <row r="58" spans="1:11" x14ac:dyDescent="0.15">
      <c r="A58">
        <v>32442760</v>
      </c>
      <c r="B58" t="s">
        <v>4949</v>
      </c>
      <c r="C58" t="s">
        <v>11454</v>
      </c>
      <c r="D58" t="s">
        <v>11455</v>
      </c>
      <c r="E58" t="s">
        <v>11456</v>
      </c>
      <c r="F58" t="s">
        <v>11457</v>
      </c>
      <c r="G58">
        <v>2020</v>
      </c>
      <c r="H58">
        <v>43974</v>
      </c>
      <c r="K58" t="s">
        <v>11458</v>
      </c>
    </row>
    <row r="59" spans="1:11" x14ac:dyDescent="0.15">
      <c r="A59">
        <v>34528938</v>
      </c>
      <c r="B59" t="s">
        <v>8917</v>
      </c>
      <c r="C59" t="s">
        <v>11459</v>
      </c>
      <c r="D59" t="s">
        <v>11460</v>
      </c>
      <c r="E59" t="s">
        <v>11461</v>
      </c>
      <c r="F59" t="s">
        <v>11462</v>
      </c>
      <c r="G59">
        <v>2021</v>
      </c>
      <c r="H59">
        <v>44455</v>
      </c>
      <c r="K59" t="s">
        <v>8929</v>
      </c>
    </row>
    <row r="60" spans="1:11" x14ac:dyDescent="0.15">
      <c r="A60">
        <v>34234173</v>
      </c>
      <c r="B60" t="s">
        <v>6216</v>
      </c>
      <c r="C60" t="s">
        <v>11463</v>
      </c>
      <c r="D60" t="s">
        <v>11464</v>
      </c>
      <c r="E60" t="s">
        <v>11465</v>
      </c>
      <c r="F60" t="s">
        <v>11466</v>
      </c>
      <c r="G60">
        <v>2021</v>
      </c>
      <c r="H60">
        <v>44385</v>
      </c>
      <c r="I60" t="s">
        <v>11467</v>
      </c>
      <c r="K60" t="s">
        <v>6226</v>
      </c>
    </row>
    <row r="61" spans="1:11" x14ac:dyDescent="0.15">
      <c r="A61">
        <v>31937439</v>
      </c>
      <c r="B61" t="s">
        <v>11468</v>
      </c>
      <c r="C61" t="s">
        <v>11469</v>
      </c>
      <c r="D61" t="s">
        <v>11470</v>
      </c>
      <c r="E61" t="s">
        <v>11471</v>
      </c>
      <c r="F61" t="s">
        <v>11472</v>
      </c>
      <c r="G61">
        <v>2020</v>
      </c>
      <c r="H61">
        <v>43846</v>
      </c>
      <c r="K61" t="s">
        <v>11473</v>
      </c>
    </row>
    <row r="62" spans="1:11" x14ac:dyDescent="0.15">
      <c r="A62">
        <v>32968935</v>
      </c>
      <c r="B62" t="s">
        <v>3048</v>
      </c>
      <c r="C62" t="s">
        <v>11474</v>
      </c>
      <c r="D62" t="s">
        <v>11475</v>
      </c>
      <c r="E62" t="s">
        <v>11476</v>
      </c>
      <c r="F62" t="s">
        <v>11477</v>
      </c>
      <c r="G62">
        <v>2021</v>
      </c>
      <c r="H62">
        <v>44098</v>
      </c>
      <c r="K62" t="s">
        <v>3061</v>
      </c>
    </row>
    <row r="63" spans="1:11" x14ac:dyDescent="0.15">
      <c r="A63">
        <v>26133463</v>
      </c>
      <c r="B63" t="s">
        <v>11478</v>
      </c>
      <c r="C63" t="s">
        <v>11479</v>
      </c>
      <c r="D63" t="s">
        <v>11480</v>
      </c>
      <c r="E63" t="s">
        <v>11481</v>
      </c>
      <c r="F63" t="s">
        <v>11482</v>
      </c>
      <c r="G63">
        <v>2015</v>
      </c>
      <c r="H63">
        <v>42188</v>
      </c>
      <c r="K63" t="s">
        <v>11483</v>
      </c>
    </row>
    <row r="64" spans="1:11" x14ac:dyDescent="0.15">
      <c r="A64">
        <v>32219336</v>
      </c>
      <c r="B64" t="s">
        <v>11484</v>
      </c>
      <c r="C64" t="s">
        <v>11485</v>
      </c>
      <c r="D64" t="s">
        <v>11486</v>
      </c>
      <c r="E64" t="s">
        <v>11487</v>
      </c>
      <c r="F64" t="s">
        <v>11488</v>
      </c>
      <c r="G64">
        <v>2020</v>
      </c>
      <c r="H64">
        <v>43919</v>
      </c>
      <c r="K64" t="s">
        <v>11489</v>
      </c>
    </row>
    <row r="65" spans="1:11" x14ac:dyDescent="0.15">
      <c r="A65">
        <v>31017799</v>
      </c>
      <c r="B65" t="s">
        <v>4675</v>
      </c>
      <c r="C65" t="s">
        <v>11490</v>
      </c>
      <c r="D65" t="s">
        <v>11491</v>
      </c>
      <c r="E65" t="s">
        <v>11492</v>
      </c>
      <c r="F65" t="s">
        <v>11493</v>
      </c>
      <c r="G65">
        <v>2019</v>
      </c>
      <c r="H65">
        <v>43580</v>
      </c>
      <c r="I65" t="s">
        <v>11494</v>
      </c>
      <c r="K65" t="s">
        <v>4690</v>
      </c>
    </row>
    <row r="66" spans="1:11" x14ac:dyDescent="0.15">
      <c r="A66">
        <v>31263077</v>
      </c>
      <c r="B66" t="s">
        <v>11495</v>
      </c>
      <c r="C66" t="s">
        <v>11496</v>
      </c>
      <c r="D66" t="s">
        <v>11497</v>
      </c>
      <c r="E66" t="s">
        <v>11498</v>
      </c>
      <c r="F66" t="s">
        <v>11499</v>
      </c>
      <c r="G66">
        <v>2019</v>
      </c>
      <c r="H66">
        <v>43649</v>
      </c>
      <c r="I66" t="s">
        <v>11500</v>
      </c>
      <c r="K66" t="s">
        <v>11501</v>
      </c>
    </row>
    <row r="67" spans="1:11" x14ac:dyDescent="0.15">
      <c r="A67">
        <v>33580122</v>
      </c>
      <c r="B67" t="s">
        <v>3115</v>
      </c>
      <c r="C67" t="s">
        <v>11502</v>
      </c>
      <c r="D67" t="s">
        <v>11503</v>
      </c>
      <c r="E67" t="s">
        <v>11504</v>
      </c>
      <c r="F67" t="s">
        <v>11466</v>
      </c>
      <c r="G67">
        <v>2021</v>
      </c>
      <c r="H67">
        <v>44240</v>
      </c>
      <c r="I67" t="s">
        <v>11505</v>
      </c>
      <c r="K67" t="s">
        <v>3124</v>
      </c>
    </row>
    <row r="68" spans="1:11" x14ac:dyDescent="0.15">
      <c r="A68">
        <v>34127763</v>
      </c>
      <c r="B68" t="s">
        <v>3995</v>
      </c>
      <c r="C68" t="s">
        <v>11506</v>
      </c>
      <c r="D68" t="s">
        <v>11507</v>
      </c>
      <c r="E68" t="s">
        <v>11508</v>
      </c>
      <c r="F68" t="s">
        <v>11466</v>
      </c>
      <c r="G68">
        <v>2021</v>
      </c>
      <c r="H68">
        <v>44362</v>
      </c>
      <c r="I68" t="s">
        <v>11509</v>
      </c>
      <c r="K68" t="s">
        <v>4002</v>
      </c>
    </row>
    <row r="69" spans="1:11" x14ac:dyDescent="0.15">
      <c r="A69">
        <v>33420117</v>
      </c>
      <c r="B69" t="s">
        <v>11510</v>
      </c>
      <c r="C69" t="s">
        <v>11511</v>
      </c>
      <c r="D69" t="s">
        <v>11512</v>
      </c>
      <c r="E69" t="s">
        <v>11513</v>
      </c>
      <c r="F69" t="s">
        <v>11466</v>
      </c>
      <c r="G69">
        <v>2021</v>
      </c>
      <c r="H69">
        <v>44205</v>
      </c>
      <c r="I69" t="s">
        <v>11514</v>
      </c>
      <c r="K69" t="s">
        <v>3626</v>
      </c>
    </row>
    <row r="70" spans="1:11" x14ac:dyDescent="0.15">
      <c r="A70">
        <v>26452221</v>
      </c>
      <c r="B70" t="s">
        <v>11515</v>
      </c>
      <c r="C70" t="s">
        <v>11516</v>
      </c>
      <c r="D70" t="s">
        <v>11517</v>
      </c>
      <c r="E70" t="s">
        <v>11518</v>
      </c>
      <c r="F70" t="s">
        <v>11519</v>
      </c>
      <c r="G70">
        <v>2015</v>
      </c>
      <c r="H70">
        <v>42287</v>
      </c>
      <c r="I70" t="s">
        <v>11520</v>
      </c>
      <c r="K70" t="s">
        <v>11521</v>
      </c>
    </row>
    <row r="71" spans="1:11" x14ac:dyDescent="0.15">
      <c r="A71">
        <v>34595842</v>
      </c>
      <c r="B71" t="s">
        <v>704</v>
      </c>
      <c r="C71" t="s">
        <v>11522</v>
      </c>
      <c r="D71" t="s">
        <v>11523</v>
      </c>
      <c r="E71" t="s">
        <v>11524</v>
      </c>
      <c r="F71" t="s">
        <v>11525</v>
      </c>
      <c r="G71">
        <v>2021</v>
      </c>
      <c r="H71">
        <v>44470</v>
      </c>
      <c r="I71" t="s">
        <v>11526</v>
      </c>
      <c r="K71" t="s">
        <v>714</v>
      </c>
    </row>
    <row r="72" spans="1:11" x14ac:dyDescent="0.15">
      <c r="A72">
        <v>30236130</v>
      </c>
      <c r="B72" t="s">
        <v>387</v>
      </c>
      <c r="C72" t="s">
        <v>11527</v>
      </c>
      <c r="D72" t="s">
        <v>11528</v>
      </c>
      <c r="E72" t="s">
        <v>11529</v>
      </c>
      <c r="F72" t="s">
        <v>11530</v>
      </c>
      <c r="G72">
        <v>2018</v>
      </c>
      <c r="H72">
        <v>43365</v>
      </c>
      <c r="I72" t="s">
        <v>11531</v>
      </c>
      <c r="K72" t="s">
        <v>400</v>
      </c>
    </row>
    <row r="73" spans="1:11" x14ac:dyDescent="0.15">
      <c r="A73">
        <v>33643547</v>
      </c>
      <c r="B73" t="s">
        <v>1168</v>
      </c>
      <c r="C73" t="s">
        <v>11532</v>
      </c>
      <c r="D73" t="s">
        <v>11533</v>
      </c>
      <c r="E73" t="s">
        <v>11534</v>
      </c>
      <c r="F73" t="s">
        <v>11525</v>
      </c>
      <c r="G73">
        <v>2021</v>
      </c>
      <c r="H73">
        <v>44256</v>
      </c>
      <c r="I73" t="s">
        <v>11535</v>
      </c>
      <c r="K73" t="s">
        <v>1179</v>
      </c>
    </row>
    <row r="74" spans="1:11" x14ac:dyDescent="0.15">
      <c r="A74">
        <v>33850235</v>
      </c>
      <c r="B74" t="s">
        <v>3067</v>
      </c>
      <c r="C74" t="s">
        <v>11536</v>
      </c>
      <c r="D74" t="s">
        <v>11537</v>
      </c>
      <c r="E74" t="s">
        <v>11538</v>
      </c>
      <c r="F74" t="s">
        <v>11466</v>
      </c>
      <c r="G74">
        <v>2021</v>
      </c>
      <c r="H74">
        <v>44300</v>
      </c>
      <c r="I74" t="s">
        <v>11539</v>
      </c>
      <c r="K74" t="s">
        <v>3077</v>
      </c>
    </row>
    <row r="75" spans="1:11" x14ac:dyDescent="0.15">
      <c r="A75">
        <v>30835829</v>
      </c>
      <c r="B75" t="s">
        <v>11540</v>
      </c>
      <c r="C75" t="s">
        <v>11541</v>
      </c>
      <c r="D75" t="s">
        <v>11542</v>
      </c>
      <c r="E75" t="s">
        <v>11543</v>
      </c>
      <c r="F75" t="s">
        <v>11258</v>
      </c>
      <c r="G75">
        <v>2019</v>
      </c>
      <c r="H75">
        <v>43530</v>
      </c>
      <c r="K75" t="s">
        <v>11544</v>
      </c>
    </row>
    <row r="76" spans="1:11" x14ac:dyDescent="0.15">
      <c r="A76">
        <v>32162067</v>
      </c>
      <c r="B76" t="s">
        <v>1526</v>
      </c>
      <c r="C76" t="s">
        <v>11545</v>
      </c>
      <c r="D76" t="s">
        <v>11546</v>
      </c>
      <c r="E76" t="s">
        <v>11547</v>
      </c>
      <c r="F76" t="s">
        <v>11548</v>
      </c>
      <c r="G76">
        <v>2020</v>
      </c>
      <c r="H76">
        <v>43903</v>
      </c>
      <c r="K76" t="s">
        <v>1540</v>
      </c>
    </row>
    <row r="77" spans="1:11" x14ac:dyDescent="0.15">
      <c r="A77">
        <v>30699987</v>
      </c>
      <c r="B77" t="s">
        <v>11549</v>
      </c>
      <c r="C77" t="s">
        <v>11550</v>
      </c>
      <c r="D77" t="s">
        <v>11551</v>
      </c>
      <c r="E77" t="s">
        <v>11552</v>
      </c>
      <c r="F77" t="s">
        <v>11553</v>
      </c>
      <c r="G77">
        <v>2019</v>
      </c>
      <c r="H77">
        <v>43497</v>
      </c>
      <c r="I77" t="s">
        <v>11554</v>
      </c>
      <c r="K77" t="s">
        <v>11555</v>
      </c>
    </row>
    <row r="78" spans="1:11" x14ac:dyDescent="0.15">
      <c r="A78">
        <v>34681030</v>
      </c>
      <c r="B78" t="s">
        <v>1735</v>
      </c>
      <c r="C78" t="s">
        <v>11556</v>
      </c>
      <c r="D78" t="s">
        <v>11557</v>
      </c>
      <c r="E78" t="s">
        <v>11558</v>
      </c>
      <c r="F78" t="s">
        <v>11343</v>
      </c>
      <c r="G78">
        <v>2021</v>
      </c>
      <c r="H78">
        <v>44492</v>
      </c>
      <c r="I78" t="s">
        <v>11559</v>
      </c>
      <c r="K78" t="s">
        <v>1745</v>
      </c>
    </row>
    <row r="79" spans="1:11" x14ac:dyDescent="0.15">
      <c r="A79">
        <v>25472905</v>
      </c>
      <c r="B79" t="s">
        <v>5386</v>
      </c>
      <c r="C79" t="s">
        <v>11560</v>
      </c>
      <c r="D79" t="s">
        <v>11561</v>
      </c>
      <c r="E79" t="s">
        <v>11562</v>
      </c>
      <c r="F79" t="s">
        <v>11563</v>
      </c>
      <c r="G79">
        <v>2014</v>
      </c>
      <c r="H79">
        <v>41978</v>
      </c>
      <c r="I79" t="s">
        <v>11564</v>
      </c>
      <c r="K79" t="s">
        <v>5397</v>
      </c>
    </row>
    <row r="80" spans="1:11" x14ac:dyDescent="0.15">
      <c r="A80">
        <v>30538124</v>
      </c>
      <c r="B80" t="s">
        <v>11565</v>
      </c>
      <c r="C80" t="s">
        <v>11566</v>
      </c>
      <c r="D80" t="s">
        <v>11567</v>
      </c>
      <c r="E80" t="s">
        <v>11568</v>
      </c>
      <c r="F80" t="s">
        <v>11569</v>
      </c>
      <c r="G80">
        <v>2019</v>
      </c>
      <c r="H80">
        <v>43447</v>
      </c>
      <c r="K80" t="s">
        <v>11570</v>
      </c>
    </row>
    <row r="81" spans="1:11" x14ac:dyDescent="0.15">
      <c r="A81">
        <v>29520561</v>
      </c>
      <c r="B81" t="s">
        <v>11571</v>
      </c>
      <c r="C81" t="s">
        <v>11572</v>
      </c>
      <c r="D81" t="s">
        <v>11573</v>
      </c>
      <c r="E81" t="s">
        <v>11574</v>
      </c>
      <c r="F81" t="s">
        <v>11575</v>
      </c>
      <c r="G81">
        <v>2018</v>
      </c>
      <c r="H81">
        <v>43169</v>
      </c>
      <c r="K81" t="s">
        <v>11576</v>
      </c>
    </row>
    <row r="82" spans="1:11" x14ac:dyDescent="0.15">
      <c r="A82">
        <v>32593407</v>
      </c>
      <c r="B82" t="s">
        <v>11577</v>
      </c>
      <c r="C82" t="s">
        <v>11578</v>
      </c>
      <c r="D82" t="s">
        <v>11579</v>
      </c>
      <c r="E82" t="s">
        <v>11580</v>
      </c>
      <c r="F82" t="s">
        <v>11581</v>
      </c>
      <c r="G82">
        <v>2020</v>
      </c>
      <c r="H82">
        <v>44011</v>
      </c>
      <c r="K82" t="s">
        <v>11582</v>
      </c>
    </row>
    <row r="83" spans="1:11" x14ac:dyDescent="0.15">
      <c r="A83">
        <v>30697216</v>
      </c>
      <c r="B83" t="s">
        <v>11583</v>
      </c>
      <c r="C83" t="s">
        <v>11584</v>
      </c>
      <c r="D83" t="s">
        <v>11585</v>
      </c>
      <c r="E83" t="s">
        <v>11586</v>
      </c>
      <c r="F83" t="s">
        <v>11350</v>
      </c>
      <c r="G83">
        <v>2019</v>
      </c>
      <c r="H83">
        <v>43496</v>
      </c>
      <c r="I83" t="s">
        <v>11587</v>
      </c>
      <c r="K83" t="s">
        <v>11588</v>
      </c>
    </row>
    <row r="84" spans="1:11" x14ac:dyDescent="0.15">
      <c r="A84">
        <v>23505015</v>
      </c>
      <c r="B84" t="s">
        <v>11589</v>
      </c>
      <c r="C84" t="s">
        <v>11590</v>
      </c>
      <c r="D84" t="s">
        <v>11591</v>
      </c>
      <c r="E84" t="s">
        <v>11592</v>
      </c>
      <c r="F84" t="s">
        <v>11593</v>
      </c>
      <c r="G84">
        <v>2013</v>
      </c>
      <c r="H84">
        <v>41352</v>
      </c>
      <c r="K84" t="s">
        <v>11594</v>
      </c>
    </row>
    <row r="85" spans="1:11" x14ac:dyDescent="0.15">
      <c r="A85">
        <v>31547130</v>
      </c>
      <c r="B85" t="s">
        <v>1870</v>
      </c>
      <c r="C85" t="s">
        <v>11595</v>
      </c>
      <c r="D85" t="s">
        <v>11596</v>
      </c>
      <c r="E85" t="s">
        <v>11597</v>
      </c>
      <c r="F85" t="s">
        <v>11598</v>
      </c>
      <c r="G85">
        <v>2019</v>
      </c>
      <c r="H85">
        <v>43733</v>
      </c>
      <c r="I85" t="s">
        <v>11599</v>
      </c>
      <c r="K85" t="s">
        <v>1882</v>
      </c>
    </row>
    <row r="86" spans="1:11" x14ac:dyDescent="0.15">
      <c r="A86">
        <v>32934287</v>
      </c>
      <c r="B86" t="s">
        <v>11600</v>
      </c>
      <c r="C86" t="s">
        <v>11601</v>
      </c>
      <c r="D86" t="s">
        <v>11602</v>
      </c>
      <c r="E86" t="s">
        <v>11603</v>
      </c>
      <c r="F86" t="s">
        <v>11466</v>
      </c>
      <c r="G86">
        <v>2020</v>
      </c>
      <c r="H86">
        <v>44090</v>
      </c>
      <c r="I86" t="s">
        <v>11604</v>
      </c>
      <c r="K86" t="s">
        <v>11605</v>
      </c>
    </row>
    <row r="87" spans="1:11" x14ac:dyDescent="0.15">
      <c r="A87">
        <v>33270495</v>
      </c>
      <c r="B87" t="s">
        <v>11606</v>
      </c>
      <c r="C87" t="s">
        <v>11607</v>
      </c>
      <c r="D87" t="s">
        <v>11608</v>
      </c>
      <c r="E87" t="s">
        <v>11609</v>
      </c>
      <c r="F87" t="s">
        <v>11152</v>
      </c>
      <c r="G87">
        <v>2021</v>
      </c>
      <c r="H87">
        <v>44168</v>
      </c>
      <c r="K87" t="s">
        <v>11610</v>
      </c>
    </row>
    <row r="88" spans="1:11" x14ac:dyDescent="0.15">
      <c r="A88">
        <v>31740445</v>
      </c>
      <c r="B88" t="s">
        <v>11611</v>
      </c>
      <c r="C88" t="s">
        <v>11612</v>
      </c>
      <c r="D88" t="s">
        <v>11613</v>
      </c>
      <c r="E88" t="s">
        <v>11614</v>
      </c>
      <c r="F88" t="s">
        <v>11615</v>
      </c>
      <c r="G88">
        <v>2020</v>
      </c>
      <c r="H88">
        <v>43789</v>
      </c>
      <c r="I88" t="s">
        <v>11616</v>
      </c>
      <c r="K88" t="s">
        <v>3917</v>
      </c>
    </row>
    <row r="89" spans="1:11" x14ac:dyDescent="0.15">
      <c r="A89">
        <v>31198995</v>
      </c>
      <c r="B89" t="s">
        <v>1391</v>
      </c>
      <c r="C89" t="s">
        <v>11617</v>
      </c>
      <c r="D89" t="s">
        <v>11618</v>
      </c>
      <c r="E89" t="s">
        <v>11619</v>
      </c>
      <c r="F89" t="s">
        <v>11620</v>
      </c>
      <c r="G89">
        <v>2019</v>
      </c>
      <c r="H89">
        <v>43631</v>
      </c>
      <c r="K89" t="s">
        <v>1406</v>
      </c>
    </row>
    <row r="90" spans="1:11" x14ac:dyDescent="0.15">
      <c r="A90">
        <v>32134270</v>
      </c>
      <c r="B90" t="s">
        <v>11621</v>
      </c>
      <c r="C90" t="s">
        <v>11622</v>
      </c>
      <c r="D90" t="s">
        <v>11623</v>
      </c>
      <c r="E90" t="s">
        <v>11624</v>
      </c>
      <c r="F90" t="s">
        <v>11625</v>
      </c>
      <c r="G90">
        <v>2020</v>
      </c>
      <c r="H90">
        <v>43896</v>
      </c>
      <c r="K90" t="s">
        <v>11626</v>
      </c>
    </row>
    <row r="91" spans="1:11" x14ac:dyDescent="0.15">
      <c r="A91">
        <v>27206554</v>
      </c>
      <c r="B91" t="s">
        <v>11627</v>
      </c>
      <c r="C91" t="s">
        <v>11628</v>
      </c>
      <c r="D91" t="s">
        <v>11629</v>
      </c>
      <c r="E91" t="s">
        <v>11630</v>
      </c>
      <c r="F91" t="s">
        <v>11152</v>
      </c>
      <c r="G91">
        <v>2016</v>
      </c>
      <c r="H91">
        <v>42512</v>
      </c>
      <c r="K91" t="s">
        <v>11631</v>
      </c>
    </row>
    <row r="92" spans="1:11" x14ac:dyDescent="0.15">
      <c r="A92">
        <v>33597619</v>
      </c>
      <c r="B92" t="s">
        <v>3955</v>
      </c>
      <c r="C92" t="s">
        <v>11632</v>
      </c>
      <c r="D92" t="s">
        <v>11633</v>
      </c>
      <c r="E92" t="s">
        <v>11634</v>
      </c>
      <c r="F92" t="s">
        <v>11466</v>
      </c>
      <c r="G92">
        <v>2021</v>
      </c>
      <c r="H92">
        <v>44245</v>
      </c>
      <c r="I92" t="s">
        <v>11635</v>
      </c>
      <c r="K92" t="s">
        <v>3963</v>
      </c>
    </row>
    <row r="93" spans="1:11" x14ac:dyDescent="0.15">
      <c r="A93">
        <v>34454177</v>
      </c>
      <c r="B93" t="s">
        <v>2687</v>
      </c>
      <c r="C93" t="s">
        <v>11636</v>
      </c>
      <c r="D93" t="s">
        <v>11637</v>
      </c>
      <c r="E93" t="s">
        <v>11638</v>
      </c>
      <c r="F93" t="s">
        <v>11639</v>
      </c>
      <c r="G93">
        <v>2021</v>
      </c>
      <c r="H93">
        <v>44436</v>
      </c>
      <c r="K93" t="s">
        <v>2700</v>
      </c>
    </row>
    <row r="94" spans="1:11" x14ac:dyDescent="0.15">
      <c r="A94">
        <v>24580550</v>
      </c>
      <c r="B94" t="s">
        <v>11640</v>
      </c>
      <c r="C94" t="s">
        <v>11641</v>
      </c>
      <c r="D94" t="s">
        <v>11642</v>
      </c>
      <c r="E94" t="s">
        <v>11643</v>
      </c>
      <c r="F94" t="s">
        <v>11644</v>
      </c>
      <c r="G94">
        <v>2014</v>
      </c>
      <c r="H94">
        <v>41702</v>
      </c>
      <c r="K94" t="s">
        <v>11645</v>
      </c>
    </row>
    <row r="95" spans="1:11" x14ac:dyDescent="0.15">
      <c r="A95">
        <v>34288927</v>
      </c>
      <c r="B95" t="s">
        <v>11646</v>
      </c>
      <c r="C95" t="s">
        <v>11647</v>
      </c>
      <c r="D95" t="s">
        <v>11648</v>
      </c>
      <c r="E95" t="s">
        <v>11649</v>
      </c>
      <c r="F95" t="s">
        <v>11650</v>
      </c>
      <c r="G95">
        <v>2021</v>
      </c>
      <c r="H95">
        <v>44398</v>
      </c>
      <c r="I95" t="s">
        <v>11651</v>
      </c>
      <c r="K95" t="s">
        <v>11652</v>
      </c>
    </row>
    <row r="96" spans="1:11" x14ac:dyDescent="0.15">
      <c r="A96">
        <v>31596073</v>
      </c>
      <c r="B96" t="s">
        <v>4564</v>
      </c>
      <c r="C96" t="s">
        <v>11653</v>
      </c>
      <c r="D96" t="s">
        <v>11654</v>
      </c>
      <c r="E96" t="s">
        <v>11655</v>
      </c>
      <c r="F96" t="s">
        <v>11453</v>
      </c>
      <c r="G96">
        <v>2019</v>
      </c>
      <c r="H96">
        <v>43748</v>
      </c>
      <c r="K96" t="s">
        <v>4572</v>
      </c>
    </row>
    <row r="97" spans="1:11" x14ac:dyDescent="0.15">
      <c r="A97">
        <v>28676332</v>
      </c>
      <c r="B97" t="s">
        <v>11656</v>
      </c>
      <c r="C97" t="s">
        <v>11657</v>
      </c>
      <c r="D97" t="s">
        <v>11658</v>
      </c>
      <c r="E97" t="s">
        <v>11659</v>
      </c>
      <c r="F97" t="s">
        <v>11660</v>
      </c>
      <c r="G97">
        <v>2018</v>
      </c>
      <c r="H97">
        <v>42922</v>
      </c>
      <c r="I97" t="s">
        <v>11661</v>
      </c>
      <c r="J97" t="s">
        <v>11662</v>
      </c>
      <c r="K97" t="s">
        <v>11663</v>
      </c>
    </row>
    <row r="98" spans="1:11" x14ac:dyDescent="0.15">
      <c r="A98">
        <v>33160816</v>
      </c>
      <c r="B98" t="s">
        <v>2623</v>
      </c>
      <c r="C98" t="s">
        <v>11664</v>
      </c>
      <c r="D98" t="s">
        <v>11665</v>
      </c>
      <c r="E98" t="s">
        <v>11666</v>
      </c>
      <c r="F98" t="s">
        <v>11667</v>
      </c>
      <c r="G98">
        <v>2021</v>
      </c>
      <c r="H98">
        <v>44143</v>
      </c>
      <c r="K98" t="s">
        <v>2635</v>
      </c>
    </row>
    <row r="99" spans="1:11" x14ac:dyDescent="0.15">
      <c r="A99">
        <v>30703330</v>
      </c>
      <c r="B99" t="s">
        <v>4916</v>
      </c>
      <c r="C99" t="s">
        <v>11668</v>
      </c>
      <c r="D99" t="s">
        <v>11669</v>
      </c>
      <c r="E99" t="s">
        <v>11670</v>
      </c>
      <c r="F99" t="s">
        <v>11671</v>
      </c>
      <c r="G99">
        <v>2019</v>
      </c>
      <c r="H99">
        <v>43497</v>
      </c>
      <c r="K99" t="s">
        <v>4929</v>
      </c>
    </row>
    <row r="100" spans="1:11" x14ac:dyDescent="0.15">
      <c r="A100">
        <v>24909737</v>
      </c>
      <c r="B100" t="s">
        <v>11672</v>
      </c>
      <c r="C100" t="s">
        <v>11673</v>
      </c>
      <c r="D100" t="s">
        <v>11674</v>
      </c>
      <c r="E100" t="s">
        <v>11675</v>
      </c>
      <c r="F100" t="s">
        <v>11676</v>
      </c>
      <c r="G100">
        <v>2014</v>
      </c>
      <c r="H100">
        <v>41800</v>
      </c>
      <c r="K100" t="s">
        <v>11677</v>
      </c>
    </row>
    <row r="101" spans="1:11" x14ac:dyDescent="0.15">
      <c r="A101">
        <v>30451032</v>
      </c>
      <c r="B101" t="s">
        <v>11678</v>
      </c>
      <c r="C101" t="s">
        <v>11679</v>
      </c>
      <c r="D101" t="s">
        <v>11680</v>
      </c>
      <c r="E101" t="s">
        <v>11681</v>
      </c>
      <c r="F101" t="s">
        <v>11682</v>
      </c>
      <c r="G101">
        <v>2019</v>
      </c>
      <c r="H101">
        <v>43424</v>
      </c>
      <c r="I101" t="s">
        <v>11683</v>
      </c>
      <c r="J101" t="s">
        <v>11684</v>
      </c>
      <c r="K101" t="s">
        <v>11685</v>
      </c>
    </row>
    <row r="102" spans="1:11" x14ac:dyDescent="0.15">
      <c r="A102">
        <v>30242641</v>
      </c>
      <c r="B102" t="s">
        <v>11686</v>
      </c>
      <c r="C102" t="s">
        <v>11687</v>
      </c>
      <c r="D102" t="s">
        <v>11688</v>
      </c>
      <c r="E102" t="s">
        <v>11689</v>
      </c>
      <c r="F102" t="s">
        <v>11690</v>
      </c>
      <c r="G102">
        <v>2019</v>
      </c>
      <c r="H102">
        <v>43366</v>
      </c>
      <c r="I102" t="s">
        <v>11691</v>
      </c>
      <c r="K102" t="s">
        <v>11692</v>
      </c>
    </row>
    <row r="103" spans="1:11" x14ac:dyDescent="0.15">
      <c r="A103">
        <v>31784837</v>
      </c>
      <c r="B103" t="s">
        <v>11693</v>
      </c>
      <c r="C103" t="s">
        <v>11694</v>
      </c>
      <c r="D103" t="s">
        <v>11695</v>
      </c>
      <c r="E103" t="s">
        <v>11696</v>
      </c>
      <c r="F103" t="s">
        <v>11697</v>
      </c>
      <c r="G103">
        <v>2019</v>
      </c>
      <c r="H103">
        <v>43800</v>
      </c>
      <c r="K103" t="s">
        <v>11698</v>
      </c>
    </row>
    <row r="104" spans="1:11" x14ac:dyDescent="0.15">
      <c r="A104">
        <v>30604797</v>
      </c>
      <c r="B104" t="s">
        <v>3361</v>
      </c>
      <c r="C104" t="s">
        <v>11699</v>
      </c>
      <c r="D104" t="s">
        <v>11700</v>
      </c>
      <c r="E104" t="s">
        <v>11701</v>
      </c>
      <c r="F104" t="s">
        <v>11702</v>
      </c>
      <c r="G104">
        <v>2019</v>
      </c>
      <c r="H104">
        <v>43469</v>
      </c>
      <c r="K104" t="s">
        <v>3369</v>
      </c>
    </row>
    <row r="105" spans="1:11" x14ac:dyDescent="0.15">
      <c r="A105">
        <v>33756122</v>
      </c>
      <c r="B105" t="s">
        <v>3267</v>
      </c>
      <c r="C105" t="s">
        <v>11703</v>
      </c>
      <c r="D105" t="s">
        <v>11704</v>
      </c>
      <c r="E105" t="s">
        <v>11705</v>
      </c>
      <c r="F105" t="s">
        <v>11706</v>
      </c>
      <c r="G105">
        <v>2021</v>
      </c>
      <c r="H105">
        <v>44278</v>
      </c>
      <c r="K105" t="s">
        <v>3280</v>
      </c>
    </row>
    <row r="106" spans="1:11" x14ac:dyDescent="0.15">
      <c r="A106">
        <v>34811396</v>
      </c>
      <c r="B106" t="s">
        <v>8201</v>
      </c>
      <c r="C106" t="s">
        <v>11707</v>
      </c>
      <c r="D106" t="s">
        <v>11708</v>
      </c>
      <c r="E106" t="s">
        <v>11709</v>
      </c>
      <c r="F106" t="s">
        <v>11466</v>
      </c>
      <c r="G106">
        <v>2021</v>
      </c>
      <c r="H106">
        <v>44523</v>
      </c>
      <c r="I106" t="s">
        <v>11710</v>
      </c>
      <c r="K106" t="s">
        <v>8210</v>
      </c>
    </row>
    <row r="107" spans="1:11" x14ac:dyDescent="0.15">
      <c r="A107">
        <v>30915846</v>
      </c>
      <c r="B107" t="s">
        <v>1136</v>
      </c>
      <c r="C107" t="s">
        <v>11711</v>
      </c>
      <c r="D107" t="s">
        <v>11712</v>
      </c>
      <c r="E107" t="s">
        <v>11713</v>
      </c>
      <c r="F107" t="s">
        <v>11714</v>
      </c>
      <c r="G107">
        <v>2019</v>
      </c>
      <c r="H107">
        <v>43552</v>
      </c>
      <c r="K107" t="s">
        <v>1148</v>
      </c>
    </row>
    <row r="108" spans="1:11" x14ac:dyDescent="0.15">
      <c r="A108">
        <v>32269293</v>
      </c>
      <c r="B108" t="s">
        <v>3863</v>
      </c>
      <c r="C108" t="s">
        <v>11715</v>
      </c>
      <c r="D108" t="s">
        <v>11716</v>
      </c>
      <c r="E108" t="s">
        <v>11634</v>
      </c>
      <c r="F108" t="s">
        <v>11466</v>
      </c>
      <c r="G108">
        <v>2020</v>
      </c>
      <c r="H108">
        <v>43931</v>
      </c>
      <c r="I108" t="s">
        <v>11717</v>
      </c>
      <c r="K108" t="s">
        <v>3873</v>
      </c>
    </row>
    <row r="109" spans="1:11" x14ac:dyDescent="0.15">
      <c r="A109">
        <v>31646316</v>
      </c>
      <c r="B109" t="s">
        <v>11718</v>
      </c>
      <c r="C109" t="s">
        <v>11719</v>
      </c>
      <c r="D109" t="s">
        <v>11720</v>
      </c>
      <c r="E109" t="s">
        <v>11721</v>
      </c>
      <c r="F109" t="s">
        <v>11722</v>
      </c>
      <c r="G109">
        <v>2019</v>
      </c>
      <c r="H109">
        <v>43763</v>
      </c>
      <c r="K109" t="s">
        <v>11723</v>
      </c>
    </row>
    <row r="110" spans="1:11" x14ac:dyDescent="0.15">
      <c r="A110">
        <v>29750752</v>
      </c>
      <c r="B110" t="s">
        <v>7811</v>
      </c>
      <c r="C110" t="s">
        <v>11724</v>
      </c>
      <c r="D110" t="s">
        <v>11725</v>
      </c>
      <c r="E110" t="s">
        <v>11726</v>
      </c>
      <c r="F110" t="s">
        <v>11727</v>
      </c>
      <c r="G110">
        <v>2018</v>
      </c>
      <c r="H110">
        <v>43232</v>
      </c>
      <c r="K110" t="s">
        <v>7819</v>
      </c>
    </row>
    <row r="111" spans="1:11" x14ac:dyDescent="0.15">
      <c r="A111">
        <v>33217521</v>
      </c>
      <c r="B111" t="s">
        <v>11728</v>
      </c>
      <c r="C111" t="s">
        <v>11729</v>
      </c>
      <c r="D111" t="s">
        <v>11730</v>
      </c>
      <c r="E111" t="s">
        <v>11731</v>
      </c>
      <c r="F111" t="s">
        <v>11732</v>
      </c>
      <c r="G111">
        <v>2021</v>
      </c>
      <c r="H111">
        <v>44155</v>
      </c>
      <c r="I111" t="s">
        <v>11733</v>
      </c>
      <c r="J111" t="s">
        <v>11734</v>
      </c>
      <c r="K111" t="s">
        <v>4257</v>
      </c>
    </row>
    <row r="112" spans="1:11" x14ac:dyDescent="0.15">
      <c r="A112">
        <v>28410618</v>
      </c>
      <c r="B112" t="s">
        <v>11735</v>
      </c>
      <c r="C112" t="s">
        <v>11736</v>
      </c>
      <c r="D112" t="s">
        <v>11737</v>
      </c>
      <c r="E112" t="s">
        <v>11738</v>
      </c>
      <c r="F112" t="s">
        <v>11423</v>
      </c>
      <c r="G112">
        <v>2017</v>
      </c>
      <c r="H112">
        <v>42841</v>
      </c>
      <c r="I112" t="s">
        <v>11739</v>
      </c>
      <c r="K112" t="s">
        <v>11740</v>
      </c>
    </row>
    <row r="113" spans="1:11" x14ac:dyDescent="0.15">
      <c r="A113">
        <v>33666247</v>
      </c>
      <c r="B113" t="s">
        <v>11741</v>
      </c>
      <c r="C113" t="s">
        <v>11742</v>
      </c>
      <c r="D113" t="s">
        <v>11743</v>
      </c>
      <c r="E113" t="s">
        <v>11744</v>
      </c>
      <c r="F113" t="s">
        <v>11745</v>
      </c>
      <c r="G113">
        <v>2021</v>
      </c>
      <c r="H113">
        <v>44260</v>
      </c>
      <c r="K113" t="s">
        <v>11746</v>
      </c>
    </row>
    <row r="114" spans="1:11" x14ac:dyDescent="0.15">
      <c r="A114">
        <v>31882820</v>
      </c>
      <c r="B114" t="s">
        <v>11747</v>
      </c>
      <c r="C114" t="s">
        <v>11748</v>
      </c>
      <c r="D114" t="s">
        <v>11749</v>
      </c>
      <c r="E114" t="s">
        <v>11750</v>
      </c>
      <c r="F114" t="s">
        <v>11466</v>
      </c>
      <c r="G114">
        <v>2019</v>
      </c>
      <c r="H114">
        <v>43828</v>
      </c>
      <c r="I114" t="s">
        <v>11751</v>
      </c>
      <c r="K114" t="s">
        <v>11752</v>
      </c>
    </row>
    <row r="115" spans="1:11" x14ac:dyDescent="0.15">
      <c r="A115">
        <v>34098025</v>
      </c>
      <c r="B115" t="s">
        <v>2739</v>
      </c>
      <c r="C115" t="s">
        <v>11753</v>
      </c>
      <c r="D115" t="s">
        <v>11754</v>
      </c>
      <c r="E115" t="s">
        <v>11755</v>
      </c>
      <c r="F115" t="s">
        <v>11756</v>
      </c>
      <c r="G115">
        <v>2021</v>
      </c>
      <c r="H115">
        <v>44354</v>
      </c>
      <c r="K115" t="s">
        <v>2751</v>
      </c>
    </row>
    <row r="116" spans="1:11" x14ac:dyDescent="0.15">
      <c r="A116">
        <v>29251021</v>
      </c>
      <c r="B116" t="s">
        <v>11757</v>
      </c>
      <c r="C116" t="s">
        <v>11758</v>
      </c>
      <c r="D116" t="s">
        <v>11759</v>
      </c>
      <c r="E116" t="s">
        <v>11760</v>
      </c>
      <c r="F116" t="s">
        <v>11682</v>
      </c>
      <c r="G116">
        <v>2018</v>
      </c>
      <c r="H116">
        <v>43088</v>
      </c>
      <c r="K116" t="s">
        <v>11761</v>
      </c>
    </row>
    <row r="117" spans="1:11" x14ac:dyDescent="0.15">
      <c r="A117">
        <v>27191915</v>
      </c>
      <c r="B117" t="s">
        <v>11762</v>
      </c>
      <c r="C117" t="s">
        <v>11763</v>
      </c>
      <c r="D117" t="s">
        <v>11764</v>
      </c>
      <c r="E117" t="s">
        <v>11765</v>
      </c>
      <c r="F117" t="s">
        <v>11322</v>
      </c>
      <c r="G117">
        <v>2016</v>
      </c>
      <c r="H117">
        <v>42509</v>
      </c>
      <c r="K117" t="s">
        <v>11766</v>
      </c>
    </row>
    <row r="118" spans="1:11" x14ac:dyDescent="0.15">
      <c r="A118">
        <v>34295456</v>
      </c>
      <c r="B118" t="s">
        <v>1593</v>
      </c>
      <c r="C118" t="s">
        <v>11767</v>
      </c>
      <c r="D118" t="s">
        <v>11768</v>
      </c>
      <c r="E118" t="s">
        <v>11769</v>
      </c>
      <c r="F118" t="s">
        <v>11525</v>
      </c>
      <c r="G118">
        <v>2021</v>
      </c>
      <c r="H118">
        <v>44400</v>
      </c>
      <c r="I118" t="s">
        <v>11770</v>
      </c>
      <c r="K118" t="s">
        <v>1604</v>
      </c>
    </row>
    <row r="119" spans="1:11" x14ac:dyDescent="0.15">
      <c r="A119">
        <v>34060032</v>
      </c>
      <c r="B119" t="s">
        <v>11771</v>
      </c>
      <c r="C119" t="s">
        <v>11772</v>
      </c>
      <c r="D119" t="s">
        <v>11773</v>
      </c>
      <c r="E119" t="s">
        <v>11774</v>
      </c>
      <c r="F119" t="s">
        <v>11317</v>
      </c>
      <c r="G119">
        <v>2021</v>
      </c>
      <c r="H119">
        <v>44348</v>
      </c>
      <c r="K119" t="s">
        <v>11775</v>
      </c>
    </row>
    <row r="120" spans="1:11" x14ac:dyDescent="0.15">
      <c r="A120">
        <v>29971917</v>
      </c>
      <c r="B120" t="s">
        <v>1623</v>
      </c>
      <c r="C120" t="s">
        <v>11776</v>
      </c>
      <c r="D120" t="s">
        <v>11777</v>
      </c>
      <c r="E120" t="s">
        <v>11778</v>
      </c>
      <c r="F120" t="s">
        <v>11779</v>
      </c>
      <c r="G120">
        <v>2018</v>
      </c>
      <c r="H120">
        <v>43286</v>
      </c>
      <c r="K120" t="s">
        <v>1634</v>
      </c>
    </row>
    <row r="121" spans="1:11" x14ac:dyDescent="0.15">
      <c r="A121">
        <v>35731982</v>
      </c>
      <c r="B121" t="s">
        <v>2514</v>
      </c>
      <c r="C121" t="s">
        <v>11780</v>
      </c>
      <c r="D121" t="s">
        <v>11781</v>
      </c>
      <c r="E121" t="s">
        <v>11782</v>
      </c>
      <c r="F121" t="s">
        <v>11453</v>
      </c>
      <c r="G121">
        <v>2022</v>
      </c>
      <c r="H121">
        <v>44734</v>
      </c>
      <c r="K121" t="s">
        <v>2522</v>
      </c>
    </row>
    <row r="122" spans="1:11" x14ac:dyDescent="0.15">
      <c r="A122">
        <v>25837312</v>
      </c>
      <c r="B122" t="s">
        <v>11783</v>
      </c>
      <c r="C122" t="s">
        <v>11784</v>
      </c>
      <c r="D122" t="s">
        <v>11785</v>
      </c>
      <c r="E122" t="s">
        <v>11786</v>
      </c>
      <c r="F122" t="s">
        <v>11787</v>
      </c>
      <c r="G122">
        <v>2015</v>
      </c>
      <c r="H122">
        <v>42098</v>
      </c>
      <c r="I122" t="s">
        <v>11788</v>
      </c>
      <c r="J122" t="s">
        <v>11789</v>
      </c>
      <c r="K122" t="s">
        <v>11790</v>
      </c>
    </row>
    <row r="123" spans="1:11" x14ac:dyDescent="0.15">
      <c r="A123">
        <v>26238497</v>
      </c>
      <c r="B123" t="s">
        <v>11791</v>
      </c>
      <c r="C123" t="s">
        <v>11792</v>
      </c>
      <c r="D123" t="s">
        <v>11793</v>
      </c>
      <c r="E123" t="s">
        <v>11794</v>
      </c>
      <c r="F123" t="s">
        <v>11795</v>
      </c>
      <c r="G123">
        <v>2015</v>
      </c>
      <c r="H123">
        <v>42221</v>
      </c>
      <c r="K123" t="s">
        <v>11796</v>
      </c>
    </row>
    <row r="124" spans="1:11" x14ac:dyDescent="0.15">
      <c r="A124">
        <v>33753167</v>
      </c>
      <c r="B124" t="s">
        <v>4867</v>
      </c>
      <c r="C124" t="s">
        <v>11797</v>
      </c>
      <c r="D124" t="s">
        <v>11798</v>
      </c>
      <c r="E124" t="s">
        <v>11799</v>
      </c>
      <c r="F124" t="s">
        <v>11800</v>
      </c>
      <c r="G124">
        <v>2021</v>
      </c>
      <c r="H124">
        <v>44278</v>
      </c>
      <c r="I124" t="s">
        <v>11801</v>
      </c>
      <c r="K124" t="s">
        <v>4877</v>
      </c>
    </row>
    <row r="125" spans="1:11" x14ac:dyDescent="0.15">
      <c r="A125">
        <v>33917426</v>
      </c>
      <c r="B125" t="s">
        <v>11802</v>
      </c>
      <c r="C125" t="s">
        <v>11803</v>
      </c>
      <c r="D125" t="s">
        <v>11804</v>
      </c>
      <c r="E125" t="s">
        <v>11805</v>
      </c>
      <c r="F125" t="s">
        <v>11553</v>
      </c>
      <c r="G125">
        <v>2021</v>
      </c>
      <c r="H125">
        <v>44316</v>
      </c>
      <c r="I125" t="s">
        <v>11806</v>
      </c>
      <c r="K125" t="s">
        <v>3017</v>
      </c>
    </row>
    <row r="126" spans="1:11" x14ac:dyDescent="0.15">
      <c r="A126">
        <v>32028208</v>
      </c>
      <c r="B126" t="s">
        <v>7919</v>
      </c>
      <c r="C126" t="s">
        <v>11807</v>
      </c>
      <c r="D126" t="s">
        <v>11808</v>
      </c>
      <c r="E126" t="s">
        <v>11465</v>
      </c>
      <c r="F126" t="s">
        <v>11809</v>
      </c>
      <c r="G126">
        <v>2020</v>
      </c>
      <c r="H126">
        <v>43868</v>
      </c>
      <c r="K126" t="s">
        <v>7931</v>
      </c>
    </row>
    <row r="127" spans="1:11" x14ac:dyDescent="0.15">
      <c r="A127">
        <v>32602227</v>
      </c>
      <c r="B127" t="s">
        <v>11810</v>
      </c>
      <c r="C127" t="s">
        <v>11811</v>
      </c>
      <c r="D127" t="s">
        <v>11812</v>
      </c>
      <c r="E127" t="s">
        <v>11813</v>
      </c>
      <c r="F127" t="s">
        <v>11814</v>
      </c>
      <c r="G127">
        <v>2020</v>
      </c>
      <c r="H127">
        <v>44013</v>
      </c>
      <c r="I127" t="s">
        <v>11815</v>
      </c>
      <c r="J127" t="s">
        <v>11816</v>
      </c>
      <c r="K127" t="s">
        <v>5773</v>
      </c>
    </row>
    <row r="128" spans="1:11" x14ac:dyDescent="0.15">
      <c r="A128">
        <v>28811546</v>
      </c>
      <c r="B128" t="s">
        <v>3432</v>
      </c>
      <c r="C128" t="s">
        <v>11817</v>
      </c>
      <c r="D128" t="s">
        <v>11818</v>
      </c>
      <c r="E128" t="s">
        <v>11819</v>
      </c>
      <c r="F128" t="s">
        <v>11466</v>
      </c>
      <c r="G128">
        <v>2017</v>
      </c>
      <c r="H128">
        <v>42964</v>
      </c>
      <c r="I128" t="s">
        <v>11820</v>
      </c>
      <c r="K128" t="s">
        <v>3442</v>
      </c>
    </row>
    <row r="129" spans="1:11" x14ac:dyDescent="0.15">
      <c r="A129">
        <v>33275138</v>
      </c>
      <c r="B129" t="s">
        <v>8271</v>
      </c>
      <c r="C129" t="s">
        <v>11821</v>
      </c>
      <c r="D129" t="s">
        <v>11822</v>
      </c>
      <c r="E129" t="s">
        <v>11823</v>
      </c>
      <c r="F129" t="s">
        <v>11226</v>
      </c>
      <c r="G129">
        <v>2021</v>
      </c>
      <c r="H129">
        <v>44169</v>
      </c>
      <c r="I129" t="s">
        <v>11824</v>
      </c>
      <c r="K129" t="s">
        <v>8284</v>
      </c>
    </row>
    <row r="130" spans="1:11" x14ac:dyDescent="0.15">
      <c r="A130">
        <v>34572021</v>
      </c>
      <c r="B130" t="s">
        <v>2312</v>
      </c>
      <c r="C130" t="s">
        <v>11825</v>
      </c>
      <c r="D130" t="s">
        <v>11826</v>
      </c>
      <c r="E130" t="s">
        <v>11827</v>
      </c>
      <c r="F130" t="s">
        <v>11553</v>
      </c>
      <c r="G130">
        <v>2021</v>
      </c>
      <c r="H130">
        <v>44467</v>
      </c>
      <c r="I130" t="s">
        <v>11828</v>
      </c>
      <c r="K130" t="s">
        <v>2322</v>
      </c>
    </row>
    <row r="131" spans="1:11" x14ac:dyDescent="0.15">
      <c r="A131">
        <v>31017389</v>
      </c>
      <c r="B131" t="s">
        <v>3519</v>
      </c>
      <c r="C131" t="s">
        <v>11829</v>
      </c>
      <c r="D131" t="s">
        <v>11830</v>
      </c>
      <c r="E131" t="s">
        <v>11831</v>
      </c>
      <c r="F131" t="s">
        <v>11714</v>
      </c>
      <c r="G131">
        <v>2019</v>
      </c>
      <c r="H131">
        <v>43580</v>
      </c>
      <c r="K131" t="s">
        <v>3529</v>
      </c>
    </row>
    <row r="132" spans="1:11" x14ac:dyDescent="0.15">
      <c r="A132">
        <v>30139385</v>
      </c>
      <c r="B132" t="s">
        <v>5547</v>
      </c>
      <c r="C132" t="s">
        <v>11832</v>
      </c>
      <c r="D132" t="s">
        <v>11833</v>
      </c>
      <c r="E132" t="s">
        <v>11834</v>
      </c>
      <c r="F132" t="s">
        <v>11423</v>
      </c>
      <c r="G132">
        <v>2018</v>
      </c>
      <c r="H132">
        <v>43337</v>
      </c>
      <c r="I132" t="s">
        <v>11835</v>
      </c>
      <c r="K132" t="s">
        <v>5557</v>
      </c>
    </row>
    <row r="133" spans="1:11" x14ac:dyDescent="0.15">
      <c r="A133">
        <v>28088446</v>
      </c>
      <c r="B133" t="s">
        <v>3446</v>
      </c>
      <c r="C133" t="s">
        <v>11836</v>
      </c>
      <c r="D133" t="s">
        <v>11837</v>
      </c>
      <c r="E133" t="s">
        <v>11838</v>
      </c>
      <c r="F133" t="s">
        <v>11839</v>
      </c>
      <c r="G133">
        <v>2017</v>
      </c>
      <c r="H133">
        <v>42751</v>
      </c>
      <c r="K133" t="s">
        <v>3459</v>
      </c>
    </row>
    <row r="134" spans="1:11" x14ac:dyDescent="0.15">
      <c r="A134">
        <v>33369394</v>
      </c>
      <c r="B134" t="s">
        <v>6726</v>
      </c>
      <c r="C134" t="s">
        <v>11840</v>
      </c>
      <c r="D134" t="s">
        <v>11841</v>
      </c>
      <c r="E134" t="s">
        <v>11842</v>
      </c>
      <c r="F134" t="s">
        <v>11453</v>
      </c>
      <c r="G134">
        <v>2021</v>
      </c>
      <c r="H134">
        <v>44193</v>
      </c>
      <c r="K134" t="s">
        <v>6733</v>
      </c>
    </row>
    <row r="135" spans="1:11" x14ac:dyDescent="0.15">
      <c r="A135">
        <v>30551256</v>
      </c>
      <c r="B135" t="s">
        <v>5728</v>
      </c>
      <c r="C135" t="s">
        <v>11843</v>
      </c>
      <c r="D135" t="s">
        <v>11844</v>
      </c>
      <c r="E135" t="s">
        <v>11845</v>
      </c>
      <c r="F135" t="s">
        <v>11846</v>
      </c>
      <c r="G135">
        <v>2018</v>
      </c>
      <c r="H135">
        <v>43449</v>
      </c>
      <c r="I135" t="s">
        <v>11847</v>
      </c>
      <c r="K135" t="s">
        <v>5742</v>
      </c>
    </row>
    <row r="136" spans="1:11" x14ac:dyDescent="0.15">
      <c r="A136">
        <v>32634139</v>
      </c>
      <c r="B136" t="s">
        <v>7978</v>
      </c>
      <c r="C136" t="s">
        <v>11848</v>
      </c>
      <c r="D136" t="s">
        <v>11849</v>
      </c>
      <c r="E136" t="s">
        <v>11850</v>
      </c>
      <c r="F136" t="s">
        <v>11650</v>
      </c>
      <c r="G136">
        <v>2020</v>
      </c>
      <c r="H136">
        <v>44020</v>
      </c>
      <c r="I136" t="s">
        <v>11851</v>
      </c>
      <c r="K136" t="s">
        <v>11852</v>
      </c>
    </row>
    <row r="137" spans="1:11" x14ac:dyDescent="0.15">
      <c r="A137">
        <v>28470712</v>
      </c>
      <c r="B137" t="s">
        <v>6137</v>
      </c>
      <c r="C137" t="s">
        <v>11853</v>
      </c>
      <c r="D137" t="s">
        <v>11854</v>
      </c>
      <c r="E137" t="s">
        <v>11855</v>
      </c>
      <c r="F137" t="s">
        <v>11856</v>
      </c>
      <c r="G137">
        <v>2017</v>
      </c>
      <c r="H137">
        <v>42860</v>
      </c>
      <c r="K137" t="s">
        <v>6150</v>
      </c>
    </row>
    <row r="138" spans="1:11" x14ac:dyDescent="0.15">
      <c r="A138">
        <v>30542983</v>
      </c>
      <c r="B138" t="s">
        <v>242</v>
      </c>
      <c r="C138" t="s">
        <v>11857</v>
      </c>
      <c r="D138" t="s">
        <v>11858</v>
      </c>
      <c r="E138" t="s">
        <v>11859</v>
      </c>
      <c r="F138" t="s">
        <v>11860</v>
      </c>
      <c r="G138">
        <v>2019</v>
      </c>
      <c r="H138">
        <v>43448</v>
      </c>
      <c r="K138" t="s">
        <v>255</v>
      </c>
    </row>
    <row r="139" spans="1:11" x14ac:dyDescent="0.15">
      <c r="A139">
        <v>35892331</v>
      </c>
      <c r="B139" t="s">
        <v>11861</v>
      </c>
      <c r="C139" t="s">
        <v>11862</v>
      </c>
      <c r="D139" t="s">
        <v>11863</v>
      </c>
      <c r="E139" t="s">
        <v>11864</v>
      </c>
      <c r="F139" t="s">
        <v>11865</v>
      </c>
      <c r="G139">
        <v>2022</v>
      </c>
      <c r="H139">
        <v>44769</v>
      </c>
      <c r="I139" t="s">
        <v>11866</v>
      </c>
      <c r="K139" t="s">
        <v>11867</v>
      </c>
    </row>
    <row r="140" spans="1:11" x14ac:dyDescent="0.15">
      <c r="A140">
        <v>30247599</v>
      </c>
      <c r="B140" t="s">
        <v>7524</v>
      </c>
      <c r="C140" t="s">
        <v>11868</v>
      </c>
      <c r="D140" t="s">
        <v>11869</v>
      </c>
      <c r="E140" t="s">
        <v>11870</v>
      </c>
      <c r="F140" t="s">
        <v>11871</v>
      </c>
      <c r="G140">
        <v>2018</v>
      </c>
      <c r="H140">
        <v>43368</v>
      </c>
      <c r="I140" t="s">
        <v>11872</v>
      </c>
      <c r="K140" t="s">
        <v>7534</v>
      </c>
    </row>
    <row r="141" spans="1:11" x14ac:dyDescent="0.15">
      <c r="A141">
        <v>32594744</v>
      </c>
      <c r="B141" t="s">
        <v>7730</v>
      </c>
      <c r="C141" t="s">
        <v>11873</v>
      </c>
      <c r="D141" t="s">
        <v>11874</v>
      </c>
      <c r="E141" t="s">
        <v>11875</v>
      </c>
      <c r="F141" t="s">
        <v>11714</v>
      </c>
      <c r="G141">
        <v>2020</v>
      </c>
      <c r="H141">
        <v>44012</v>
      </c>
      <c r="K141" t="s">
        <v>7740</v>
      </c>
    </row>
    <row r="142" spans="1:11" x14ac:dyDescent="0.15">
      <c r="A142">
        <v>20235276</v>
      </c>
      <c r="B142" t="s">
        <v>11876</v>
      </c>
      <c r="C142" t="s">
        <v>11877</v>
      </c>
      <c r="D142" t="s">
        <v>11878</v>
      </c>
      <c r="E142" t="s">
        <v>11879</v>
      </c>
      <c r="F142" t="s">
        <v>11846</v>
      </c>
      <c r="G142">
        <v>2010</v>
      </c>
      <c r="H142">
        <v>40255</v>
      </c>
      <c r="I142" t="s">
        <v>11880</v>
      </c>
      <c r="J142" t="s">
        <v>11881</v>
      </c>
      <c r="K142" t="s">
        <v>11882</v>
      </c>
    </row>
    <row r="143" spans="1:11" x14ac:dyDescent="0.15">
      <c r="A143">
        <v>22506041</v>
      </c>
      <c r="B143" t="s">
        <v>11883</v>
      </c>
      <c r="C143" t="s">
        <v>11884</v>
      </c>
      <c r="D143" t="s">
        <v>11885</v>
      </c>
      <c r="E143" t="s">
        <v>11886</v>
      </c>
      <c r="F143" t="s">
        <v>11650</v>
      </c>
      <c r="G143">
        <v>2012</v>
      </c>
      <c r="H143">
        <v>41016</v>
      </c>
      <c r="I143" t="s">
        <v>11887</v>
      </c>
      <c r="K143" t="s">
        <v>1022</v>
      </c>
    </row>
    <row r="144" spans="1:11" x14ac:dyDescent="0.15">
      <c r="A144">
        <v>33086079</v>
      </c>
      <c r="B144" t="s">
        <v>5791</v>
      </c>
      <c r="C144" t="s">
        <v>11888</v>
      </c>
      <c r="D144" t="s">
        <v>11889</v>
      </c>
      <c r="E144" t="s">
        <v>11890</v>
      </c>
      <c r="F144" t="s">
        <v>11891</v>
      </c>
      <c r="G144">
        <v>2021</v>
      </c>
      <c r="H144">
        <v>44125</v>
      </c>
      <c r="K144" t="s">
        <v>5804</v>
      </c>
    </row>
    <row r="145" spans="1:11" x14ac:dyDescent="0.15">
      <c r="A145">
        <v>29986209</v>
      </c>
      <c r="B145" t="s">
        <v>3373</v>
      </c>
      <c r="C145" t="s">
        <v>11892</v>
      </c>
      <c r="D145" t="s">
        <v>11893</v>
      </c>
      <c r="E145" t="s">
        <v>11894</v>
      </c>
      <c r="F145" t="s">
        <v>11895</v>
      </c>
      <c r="G145">
        <v>2018</v>
      </c>
      <c r="H145">
        <v>43291</v>
      </c>
      <c r="I145" t="s">
        <v>11896</v>
      </c>
      <c r="K145" t="s">
        <v>3384</v>
      </c>
    </row>
    <row r="146" spans="1:11" x14ac:dyDescent="0.15">
      <c r="A146">
        <v>28167212</v>
      </c>
      <c r="B146" t="s">
        <v>11897</v>
      </c>
      <c r="C146" t="s">
        <v>11898</v>
      </c>
      <c r="D146" t="s">
        <v>11899</v>
      </c>
      <c r="E146" t="s">
        <v>11900</v>
      </c>
      <c r="F146" t="s">
        <v>11901</v>
      </c>
      <c r="G146">
        <v>2017</v>
      </c>
      <c r="H146">
        <v>42774</v>
      </c>
      <c r="K146" t="s">
        <v>11902</v>
      </c>
    </row>
    <row r="147" spans="1:11" x14ac:dyDescent="0.15">
      <c r="A147">
        <v>21318413</v>
      </c>
      <c r="B147" t="s">
        <v>11903</v>
      </c>
      <c r="C147" t="s">
        <v>11904</v>
      </c>
      <c r="D147" t="s">
        <v>11905</v>
      </c>
      <c r="E147" t="s">
        <v>11906</v>
      </c>
      <c r="F147" t="s">
        <v>11907</v>
      </c>
      <c r="G147">
        <v>2011</v>
      </c>
      <c r="H147">
        <v>40589</v>
      </c>
      <c r="K147" t="s">
        <v>11908</v>
      </c>
    </row>
    <row r="148" spans="1:11" x14ac:dyDescent="0.15">
      <c r="A148">
        <v>24250247</v>
      </c>
      <c r="B148" t="s">
        <v>11909</v>
      </c>
      <c r="C148" t="s">
        <v>11910</v>
      </c>
      <c r="D148" t="s">
        <v>11911</v>
      </c>
      <c r="E148" t="s">
        <v>11912</v>
      </c>
      <c r="F148" t="s">
        <v>11387</v>
      </c>
      <c r="G148">
        <v>2013</v>
      </c>
      <c r="H148">
        <v>41598</v>
      </c>
      <c r="I148" t="s">
        <v>11913</v>
      </c>
      <c r="K148" t="s">
        <v>11914</v>
      </c>
    </row>
    <row r="149" spans="1:11" x14ac:dyDescent="0.15">
      <c r="A149">
        <v>34772443</v>
      </c>
      <c r="B149" t="s">
        <v>3284</v>
      </c>
      <c r="C149" t="s">
        <v>11915</v>
      </c>
      <c r="D149" t="s">
        <v>11916</v>
      </c>
      <c r="E149" t="s">
        <v>11917</v>
      </c>
      <c r="F149" t="s">
        <v>11918</v>
      </c>
      <c r="G149">
        <v>2021</v>
      </c>
      <c r="H149">
        <v>44513</v>
      </c>
      <c r="I149" t="s">
        <v>11919</v>
      </c>
      <c r="K149" t="s">
        <v>3296</v>
      </c>
    </row>
    <row r="150" spans="1:11" x14ac:dyDescent="0.15">
      <c r="A150">
        <v>29109780</v>
      </c>
      <c r="B150" t="s">
        <v>1362</v>
      </c>
      <c r="C150" t="s">
        <v>11920</v>
      </c>
      <c r="D150" t="s">
        <v>11921</v>
      </c>
      <c r="E150" t="s">
        <v>11922</v>
      </c>
      <c r="F150" t="s">
        <v>11172</v>
      </c>
      <c r="G150">
        <v>2017</v>
      </c>
      <c r="H150">
        <v>43047</v>
      </c>
      <c r="I150" t="s">
        <v>11923</v>
      </c>
      <c r="K150" t="s">
        <v>1372</v>
      </c>
    </row>
    <row r="151" spans="1:11" x14ac:dyDescent="0.15">
      <c r="A151">
        <v>33978996</v>
      </c>
      <c r="B151" t="s">
        <v>7011</v>
      </c>
      <c r="C151" t="s">
        <v>11924</v>
      </c>
      <c r="D151" t="s">
        <v>11925</v>
      </c>
      <c r="E151" t="s">
        <v>11926</v>
      </c>
      <c r="F151" t="s">
        <v>11927</v>
      </c>
      <c r="G151">
        <v>2021</v>
      </c>
      <c r="H151">
        <v>44328</v>
      </c>
      <c r="K151" t="s">
        <v>7021</v>
      </c>
    </row>
    <row r="152" spans="1:11" x14ac:dyDescent="0.15">
      <c r="A152">
        <v>31843276</v>
      </c>
      <c r="B152" t="s">
        <v>11928</v>
      </c>
      <c r="C152" t="s">
        <v>11929</v>
      </c>
      <c r="D152" t="s">
        <v>11930</v>
      </c>
      <c r="E152" t="s">
        <v>11931</v>
      </c>
      <c r="F152" t="s">
        <v>11932</v>
      </c>
      <c r="G152">
        <v>2020</v>
      </c>
      <c r="H152">
        <v>43817</v>
      </c>
      <c r="I152" t="s">
        <v>11933</v>
      </c>
      <c r="K152" t="s">
        <v>7888</v>
      </c>
    </row>
    <row r="153" spans="1:11" x14ac:dyDescent="0.15">
      <c r="A153">
        <v>27075363</v>
      </c>
      <c r="B153" t="s">
        <v>11934</v>
      </c>
      <c r="C153" t="s">
        <v>11935</v>
      </c>
      <c r="D153" t="s">
        <v>11936</v>
      </c>
      <c r="E153" t="s">
        <v>11937</v>
      </c>
      <c r="F153" t="s">
        <v>11918</v>
      </c>
      <c r="G153">
        <v>2016</v>
      </c>
      <c r="H153">
        <v>42475</v>
      </c>
      <c r="I153" t="s">
        <v>11938</v>
      </c>
      <c r="K153" t="s">
        <v>11939</v>
      </c>
    </row>
    <row r="154" spans="1:11" x14ac:dyDescent="0.15">
      <c r="A154">
        <v>34198263</v>
      </c>
      <c r="B154" t="s">
        <v>11940</v>
      </c>
      <c r="C154" t="s">
        <v>11941</v>
      </c>
      <c r="D154" t="s">
        <v>11942</v>
      </c>
      <c r="E154" t="s">
        <v>11943</v>
      </c>
      <c r="F154" t="s">
        <v>11944</v>
      </c>
      <c r="G154">
        <v>2021</v>
      </c>
      <c r="H154">
        <v>44378</v>
      </c>
      <c r="I154" t="s">
        <v>11945</v>
      </c>
      <c r="K154" t="s">
        <v>11946</v>
      </c>
    </row>
    <row r="155" spans="1:11" x14ac:dyDescent="0.15">
      <c r="A155">
        <v>30257227</v>
      </c>
      <c r="B155" t="s">
        <v>11947</v>
      </c>
      <c r="C155" t="s">
        <v>11948</v>
      </c>
      <c r="D155" t="s">
        <v>11949</v>
      </c>
      <c r="E155" t="s">
        <v>11950</v>
      </c>
      <c r="F155" t="s">
        <v>11951</v>
      </c>
      <c r="G155">
        <v>2018</v>
      </c>
      <c r="H155">
        <v>43370</v>
      </c>
      <c r="K155" t="s">
        <v>11952</v>
      </c>
    </row>
    <row r="156" spans="1:11" x14ac:dyDescent="0.15">
      <c r="A156">
        <v>33798333</v>
      </c>
      <c r="B156" t="s">
        <v>11953</v>
      </c>
      <c r="C156" t="s">
        <v>11954</v>
      </c>
      <c r="D156" t="s">
        <v>11955</v>
      </c>
      <c r="E156" t="s">
        <v>11956</v>
      </c>
      <c r="F156" t="s">
        <v>11453</v>
      </c>
      <c r="G156">
        <v>2021</v>
      </c>
      <c r="H156">
        <v>44288</v>
      </c>
      <c r="K156" t="s">
        <v>11957</v>
      </c>
    </row>
    <row r="157" spans="1:11" x14ac:dyDescent="0.15">
      <c r="A157">
        <v>33454965</v>
      </c>
      <c r="B157" t="s">
        <v>11958</v>
      </c>
      <c r="C157" t="s">
        <v>11959</v>
      </c>
      <c r="D157" t="s">
        <v>11960</v>
      </c>
      <c r="E157" t="s">
        <v>11961</v>
      </c>
      <c r="F157" t="s">
        <v>11962</v>
      </c>
      <c r="G157">
        <v>2021</v>
      </c>
      <c r="H157">
        <v>44213</v>
      </c>
      <c r="K157" t="s">
        <v>11963</v>
      </c>
    </row>
    <row r="158" spans="1:11" x14ac:dyDescent="0.15">
      <c r="A158">
        <v>30467990</v>
      </c>
      <c r="B158" t="s">
        <v>11964</v>
      </c>
      <c r="C158" t="s">
        <v>11965</v>
      </c>
      <c r="D158" t="s">
        <v>11966</v>
      </c>
      <c r="E158" t="s">
        <v>11967</v>
      </c>
      <c r="F158" t="s">
        <v>11593</v>
      </c>
      <c r="G158">
        <v>2019</v>
      </c>
      <c r="H158">
        <v>43428</v>
      </c>
      <c r="K158" t="s">
        <v>11968</v>
      </c>
    </row>
    <row r="159" spans="1:11" x14ac:dyDescent="0.15">
      <c r="A159">
        <v>30536653</v>
      </c>
      <c r="B159" t="s">
        <v>7072</v>
      </c>
      <c r="C159" t="s">
        <v>11969</v>
      </c>
      <c r="D159" t="s">
        <v>11970</v>
      </c>
      <c r="E159" t="s">
        <v>11971</v>
      </c>
      <c r="F159" t="s">
        <v>11856</v>
      </c>
      <c r="G159">
        <v>2019</v>
      </c>
      <c r="H159">
        <v>43446</v>
      </c>
      <c r="K159" t="s">
        <v>7082</v>
      </c>
    </row>
    <row r="160" spans="1:11" x14ac:dyDescent="0.15">
      <c r="A160">
        <v>32065171</v>
      </c>
      <c r="B160" t="s">
        <v>1608</v>
      </c>
      <c r="C160" t="s">
        <v>11972</v>
      </c>
      <c r="D160" t="s">
        <v>11973</v>
      </c>
      <c r="E160" t="s">
        <v>11974</v>
      </c>
      <c r="F160" t="s">
        <v>11975</v>
      </c>
      <c r="G160">
        <v>2020</v>
      </c>
      <c r="H160">
        <v>43879</v>
      </c>
      <c r="K160" t="s">
        <v>1619</v>
      </c>
    </row>
    <row r="161" spans="1:11" x14ac:dyDescent="0.15">
      <c r="A161">
        <v>31123713</v>
      </c>
      <c r="B161" t="s">
        <v>2941</v>
      </c>
      <c r="C161" t="s">
        <v>11976</v>
      </c>
      <c r="D161" t="s">
        <v>11977</v>
      </c>
      <c r="E161" t="s">
        <v>11978</v>
      </c>
      <c r="F161" t="s">
        <v>11979</v>
      </c>
      <c r="G161">
        <v>2019</v>
      </c>
      <c r="H161">
        <v>43610</v>
      </c>
      <c r="I161" t="s">
        <v>11980</v>
      </c>
      <c r="K161" t="s">
        <v>2953</v>
      </c>
    </row>
    <row r="162" spans="1:11" x14ac:dyDescent="0.15">
      <c r="A162">
        <v>29382201</v>
      </c>
      <c r="B162" t="s">
        <v>3128</v>
      </c>
      <c r="C162" t="s">
        <v>11981</v>
      </c>
      <c r="D162" t="s">
        <v>11982</v>
      </c>
      <c r="E162" t="s">
        <v>11983</v>
      </c>
      <c r="F162" t="s">
        <v>11984</v>
      </c>
      <c r="G162">
        <v>2018</v>
      </c>
      <c r="H162">
        <v>43132</v>
      </c>
      <c r="K162" t="s">
        <v>3139</v>
      </c>
    </row>
    <row r="163" spans="1:11" x14ac:dyDescent="0.15">
      <c r="A163">
        <v>32447063</v>
      </c>
      <c r="B163" t="s">
        <v>11985</v>
      </c>
      <c r="C163" t="s">
        <v>11986</v>
      </c>
      <c r="D163" t="s">
        <v>11987</v>
      </c>
      <c r="E163" t="s">
        <v>11275</v>
      </c>
      <c r="F163" t="s">
        <v>11988</v>
      </c>
      <c r="G163">
        <v>2020</v>
      </c>
      <c r="H163">
        <v>43976</v>
      </c>
      <c r="K163" t="s">
        <v>11989</v>
      </c>
    </row>
    <row r="164" spans="1:11" x14ac:dyDescent="0.15">
      <c r="A164">
        <v>29192155</v>
      </c>
      <c r="B164" t="s">
        <v>7456</v>
      </c>
      <c r="C164" t="s">
        <v>11990</v>
      </c>
      <c r="D164" t="s">
        <v>11991</v>
      </c>
      <c r="E164" t="s">
        <v>11992</v>
      </c>
      <c r="F164" t="s">
        <v>11466</v>
      </c>
      <c r="G164">
        <v>2017</v>
      </c>
      <c r="H164">
        <v>43071</v>
      </c>
      <c r="I164" t="s">
        <v>11993</v>
      </c>
      <c r="K164" t="s">
        <v>7464</v>
      </c>
    </row>
    <row r="165" spans="1:11" x14ac:dyDescent="0.15">
      <c r="A165">
        <v>29701682</v>
      </c>
      <c r="B165" t="s">
        <v>11994</v>
      </c>
      <c r="C165" t="s">
        <v>11995</v>
      </c>
      <c r="D165" t="s">
        <v>11996</v>
      </c>
      <c r="E165" t="s">
        <v>11997</v>
      </c>
      <c r="F165" t="s">
        <v>11865</v>
      </c>
      <c r="G165">
        <v>2018</v>
      </c>
      <c r="H165">
        <v>43218</v>
      </c>
      <c r="I165" t="s">
        <v>11998</v>
      </c>
      <c r="K165" t="s">
        <v>11999</v>
      </c>
    </row>
    <row r="166" spans="1:11" x14ac:dyDescent="0.15">
      <c r="A166">
        <v>33753455</v>
      </c>
      <c r="B166" t="s">
        <v>5292</v>
      </c>
      <c r="C166" t="s">
        <v>12000</v>
      </c>
      <c r="D166" t="s">
        <v>12001</v>
      </c>
      <c r="E166" t="s">
        <v>12002</v>
      </c>
      <c r="F166" t="s">
        <v>12003</v>
      </c>
      <c r="G166">
        <v>2021</v>
      </c>
      <c r="H166">
        <v>44278</v>
      </c>
      <c r="I166" t="s">
        <v>12004</v>
      </c>
      <c r="J166" t="s">
        <v>12005</v>
      </c>
      <c r="K166" t="s">
        <v>5302</v>
      </c>
    </row>
    <row r="167" spans="1:11" x14ac:dyDescent="0.15">
      <c r="A167">
        <v>27293190</v>
      </c>
      <c r="B167" t="s">
        <v>12006</v>
      </c>
      <c r="C167" t="s">
        <v>12007</v>
      </c>
      <c r="D167" t="s">
        <v>12008</v>
      </c>
      <c r="E167" t="s">
        <v>12009</v>
      </c>
      <c r="F167" t="s">
        <v>11130</v>
      </c>
      <c r="G167">
        <v>2016</v>
      </c>
      <c r="H167">
        <v>42535</v>
      </c>
      <c r="I167" t="s">
        <v>12010</v>
      </c>
      <c r="J167" t="s">
        <v>12011</v>
      </c>
      <c r="K167" t="s">
        <v>12012</v>
      </c>
    </row>
    <row r="168" spans="1:11" x14ac:dyDescent="0.15">
      <c r="A168">
        <v>34135428</v>
      </c>
      <c r="B168" t="s">
        <v>12013</v>
      </c>
      <c r="C168" t="s">
        <v>12014</v>
      </c>
      <c r="D168" t="s">
        <v>12015</v>
      </c>
      <c r="E168" t="s">
        <v>12016</v>
      </c>
      <c r="F168" t="s">
        <v>11466</v>
      </c>
      <c r="G168">
        <v>2021</v>
      </c>
      <c r="H168">
        <v>44364</v>
      </c>
      <c r="I168" t="s">
        <v>12017</v>
      </c>
      <c r="K168" t="s">
        <v>12018</v>
      </c>
    </row>
    <row r="169" spans="1:11" x14ac:dyDescent="0.15">
      <c r="A169">
        <v>28975808</v>
      </c>
      <c r="B169" t="s">
        <v>4289</v>
      </c>
      <c r="C169" t="s">
        <v>12019</v>
      </c>
      <c r="D169" t="s">
        <v>12020</v>
      </c>
      <c r="E169" t="s">
        <v>12021</v>
      </c>
      <c r="F169" t="s">
        <v>12022</v>
      </c>
      <c r="G169">
        <v>2018</v>
      </c>
      <c r="H169">
        <v>43013</v>
      </c>
      <c r="K169" t="s">
        <v>4302</v>
      </c>
    </row>
    <row r="170" spans="1:11" x14ac:dyDescent="0.15">
      <c r="A170">
        <v>32544093</v>
      </c>
      <c r="B170" t="s">
        <v>12023</v>
      </c>
      <c r="C170" t="s">
        <v>12024</v>
      </c>
      <c r="D170" t="s">
        <v>12025</v>
      </c>
      <c r="E170" t="s">
        <v>12026</v>
      </c>
      <c r="F170" t="s">
        <v>12027</v>
      </c>
      <c r="G170">
        <v>2020</v>
      </c>
      <c r="H170">
        <v>43999</v>
      </c>
      <c r="I170" t="s">
        <v>12028</v>
      </c>
      <c r="K170" t="s">
        <v>6212</v>
      </c>
    </row>
    <row r="171" spans="1:11" x14ac:dyDescent="0.15">
      <c r="A171">
        <v>33311558</v>
      </c>
      <c r="B171" t="s">
        <v>6442</v>
      </c>
      <c r="C171" t="s">
        <v>12029</v>
      </c>
      <c r="D171" t="s">
        <v>12030</v>
      </c>
      <c r="E171" t="s">
        <v>12031</v>
      </c>
      <c r="F171" t="s">
        <v>11466</v>
      </c>
      <c r="G171">
        <v>2020</v>
      </c>
      <c r="H171">
        <v>44179</v>
      </c>
      <c r="I171" t="s">
        <v>12032</v>
      </c>
      <c r="K171" t="s">
        <v>6450</v>
      </c>
    </row>
    <row r="172" spans="1:11" x14ac:dyDescent="0.15">
      <c r="A172">
        <v>30519544</v>
      </c>
      <c r="B172" t="s">
        <v>2075</v>
      </c>
      <c r="C172" t="s">
        <v>12033</v>
      </c>
      <c r="D172" t="s">
        <v>12034</v>
      </c>
      <c r="E172" t="s">
        <v>12035</v>
      </c>
      <c r="F172" t="s">
        <v>12036</v>
      </c>
      <c r="G172">
        <v>2018</v>
      </c>
      <c r="H172">
        <v>43441</v>
      </c>
      <c r="I172" t="s">
        <v>12037</v>
      </c>
      <c r="K172" t="s">
        <v>2088</v>
      </c>
    </row>
    <row r="173" spans="1:11" x14ac:dyDescent="0.15">
      <c r="A173">
        <v>30279572</v>
      </c>
      <c r="B173" t="s">
        <v>8556</v>
      </c>
      <c r="C173" t="s">
        <v>12038</v>
      </c>
      <c r="D173" t="s">
        <v>12039</v>
      </c>
      <c r="E173" t="s">
        <v>12040</v>
      </c>
      <c r="F173" t="s">
        <v>11466</v>
      </c>
      <c r="G173">
        <v>2018</v>
      </c>
      <c r="H173">
        <v>43377</v>
      </c>
      <c r="I173" t="s">
        <v>12041</v>
      </c>
      <c r="K173" t="s">
        <v>8564</v>
      </c>
    </row>
    <row r="174" spans="1:11" x14ac:dyDescent="0.15">
      <c r="A174">
        <v>26973197</v>
      </c>
      <c r="B174" t="s">
        <v>12042</v>
      </c>
      <c r="C174" t="s">
        <v>12043</v>
      </c>
      <c r="D174" t="s">
        <v>12044</v>
      </c>
      <c r="E174" t="s">
        <v>12045</v>
      </c>
      <c r="F174" t="s">
        <v>12046</v>
      </c>
      <c r="G174">
        <v>2016</v>
      </c>
      <c r="H174">
        <v>42444</v>
      </c>
      <c r="K174" t="s">
        <v>12047</v>
      </c>
    </row>
    <row r="175" spans="1:11" x14ac:dyDescent="0.15">
      <c r="A175">
        <v>31581745</v>
      </c>
      <c r="B175" t="s">
        <v>12048</v>
      </c>
      <c r="C175" t="s">
        <v>12049</v>
      </c>
      <c r="D175" t="s">
        <v>12050</v>
      </c>
      <c r="E175" t="s">
        <v>12051</v>
      </c>
      <c r="F175" t="s">
        <v>11553</v>
      </c>
      <c r="G175">
        <v>2019</v>
      </c>
      <c r="H175">
        <v>43743</v>
      </c>
      <c r="I175" t="s">
        <v>12052</v>
      </c>
      <c r="K175" t="s">
        <v>12053</v>
      </c>
    </row>
    <row r="176" spans="1:11" x14ac:dyDescent="0.15">
      <c r="A176">
        <v>29558959</v>
      </c>
      <c r="B176" t="s">
        <v>7861</v>
      </c>
      <c r="C176" t="s">
        <v>12054</v>
      </c>
      <c r="D176" t="s">
        <v>12055</v>
      </c>
      <c r="E176" t="s">
        <v>12056</v>
      </c>
      <c r="F176" t="s">
        <v>11423</v>
      </c>
      <c r="G176">
        <v>2018</v>
      </c>
      <c r="H176">
        <v>43181</v>
      </c>
      <c r="I176" t="s">
        <v>12057</v>
      </c>
      <c r="K176" t="s">
        <v>7872</v>
      </c>
    </row>
    <row r="177" spans="1:11" x14ac:dyDescent="0.15">
      <c r="A177">
        <v>32315358</v>
      </c>
      <c r="B177" t="s">
        <v>12058</v>
      </c>
      <c r="C177" t="s">
        <v>12059</v>
      </c>
      <c r="D177" t="s">
        <v>12060</v>
      </c>
      <c r="E177" t="s">
        <v>12061</v>
      </c>
      <c r="F177" t="s">
        <v>12062</v>
      </c>
      <c r="G177">
        <v>2020</v>
      </c>
      <c r="H177">
        <v>43943</v>
      </c>
      <c r="I177" t="s">
        <v>12063</v>
      </c>
      <c r="K177" t="s">
        <v>6017</v>
      </c>
    </row>
    <row r="178" spans="1:11" x14ac:dyDescent="0.15">
      <c r="A178">
        <v>33819778</v>
      </c>
      <c r="B178" t="s">
        <v>12064</v>
      </c>
      <c r="C178" t="s">
        <v>12065</v>
      </c>
      <c r="D178" t="s">
        <v>12066</v>
      </c>
      <c r="E178" t="s">
        <v>12067</v>
      </c>
      <c r="F178" t="s">
        <v>12068</v>
      </c>
      <c r="G178">
        <v>2021</v>
      </c>
      <c r="H178">
        <v>44291</v>
      </c>
      <c r="K178" t="s">
        <v>12069</v>
      </c>
    </row>
    <row r="179" spans="1:11" x14ac:dyDescent="0.15">
      <c r="A179">
        <v>31232418</v>
      </c>
      <c r="B179" t="s">
        <v>4161</v>
      </c>
      <c r="C179" t="s">
        <v>12070</v>
      </c>
      <c r="D179" t="s">
        <v>12071</v>
      </c>
      <c r="E179" t="s">
        <v>12072</v>
      </c>
      <c r="F179" t="s">
        <v>11702</v>
      </c>
      <c r="G179">
        <v>2019</v>
      </c>
      <c r="H179">
        <v>43641</v>
      </c>
      <c r="I179" t="s">
        <v>12073</v>
      </c>
      <c r="J179" t="s">
        <v>12074</v>
      </c>
      <c r="K179" t="s">
        <v>4170</v>
      </c>
    </row>
    <row r="180" spans="1:11" x14ac:dyDescent="0.15">
      <c r="A180">
        <v>27753024</v>
      </c>
      <c r="B180" t="s">
        <v>749</v>
      </c>
      <c r="C180" t="s">
        <v>12075</v>
      </c>
      <c r="D180" t="s">
        <v>12076</v>
      </c>
      <c r="E180" t="s">
        <v>12077</v>
      </c>
      <c r="F180" t="s">
        <v>12078</v>
      </c>
      <c r="G180">
        <v>2016</v>
      </c>
      <c r="H180">
        <v>42662</v>
      </c>
      <c r="K180" t="s">
        <v>767</v>
      </c>
    </row>
    <row r="181" spans="1:11" x14ac:dyDescent="0.15">
      <c r="A181">
        <v>29051321</v>
      </c>
      <c r="B181" t="s">
        <v>12079</v>
      </c>
      <c r="C181" t="s">
        <v>12080</v>
      </c>
      <c r="D181" t="s">
        <v>12081</v>
      </c>
      <c r="E181" t="s">
        <v>12082</v>
      </c>
      <c r="F181" t="s">
        <v>12003</v>
      </c>
      <c r="G181">
        <v>2018</v>
      </c>
      <c r="H181">
        <v>43029</v>
      </c>
      <c r="I181" t="s">
        <v>12083</v>
      </c>
      <c r="J181" t="s">
        <v>12084</v>
      </c>
      <c r="K181" t="s">
        <v>12085</v>
      </c>
    </row>
    <row r="182" spans="1:11" x14ac:dyDescent="0.15">
      <c r="A182">
        <v>33040492</v>
      </c>
      <c r="B182" t="s">
        <v>4102</v>
      </c>
      <c r="C182" t="s">
        <v>12086</v>
      </c>
      <c r="D182" t="s">
        <v>12087</v>
      </c>
      <c r="E182" t="s">
        <v>12088</v>
      </c>
      <c r="F182" t="s">
        <v>12089</v>
      </c>
      <c r="G182">
        <v>2021</v>
      </c>
      <c r="H182">
        <v>44115</v>
      </c>
      <c r="I182" t="s">
        <v>12090</v>
      </c>
      <c r="J182" t="s">
        <v>12091</v>
      </c>
      <c r="K182" t="s">
        <v>4115</v>
      </c>
    </row>
    <row r="183" spans="1:11" x14ac:dyDescent="0.15">
      <c r="A183">
        <v>27793845</v>
      </c>
      <c r="B183" t="s">
        <v>3939</v>
      </c>
      <c r="C183" t="s">
        <v>12092</v>
      </c>
      <c r="D183" t="s">
        <v>12093</v>
      </c>
      <c r="E183" t="s">
        <v>12094</v>
      </c>
      <c r="F183" t="s">
        <v>12095</v>
      </c>
      <c r="G183">
        <v>2017</v>
      </c>
      <c r="H183">
        <v>42673</v>
      </c>
      <c r="K183" t="s">
        <v>3951</v>
      </c>
    </row>
    <row r="184" spans="1:11" x14ac:dyDescent="0.15">
      <c r="A184">
        <v>28121262</v>
      </c>
      <c r="B184" t="s">
        <v>4476</v>
      </c>
      <c r="C184" t="s">
        <v>12096</v>
      </c>
      <c r="D184" t="s">
        <v>12097</v>
      </c>
      <c r="E184" t="s">
        <v>12098</v>
      </c>
      <c r="F184" t="s">
        <v>12099</v>
      </c>
      <c r="G184">
        <v>2017</v>
      </c>
      <c r="H184">
        <v>42761</v>
      </c>
      <c r="I184" t="s">
        <v>12100</v>
      </c>
      <c r="K184" t="s">
        <v>4488</v>
      </c>
    </row>
    <row r="185" spans="1:11" x14ac:dyDescent="0.15">
      <c r="A185">
        <v>35467282</v>
      </c>
      <c r="B185" t="s">
        <v>12101</v>
      </c>
      <c r="C185" t="s">
        <v>12102</v>
      </c>
      <c r="D185" t="s">
        <v>12103</v>
      </c>
      <c r="E185" t="s">
        <v>12104</v>
      </c>
      <c r="F185" t="s">
        <v>11317</v>
      </c>
      <c r="G185">
        <v>2022</v>
      </c>
      <c r="H185">
        <v>44676</v>
      </c>
      <c r="K185" t="s">
        <v>12105</v>
      </c>
    </row>
    <row r="186" spans="1:11" x14ac:dyDescent="0.15">
      <c r="A186">
        <v>34229724</v>
      </c>
      <c r="B186" t="s">
        <v>12106</v>
      </c>
      <c r="C186" t="s">
        <v>12107</v>
      </c>
      <c r="D186" t="s">
        <v>12108</v>
      </c>
      <c r="E186" t="s">
        <v>12109</v>
      </c>
      <c r="F186" t="s">
        <v>12110</v>
      </c>
      <c r="G186">
        <v>2021</v>
      </c>
      <c r="H186">
        <v>44384</v>
      </c>
      <c r="I186" t="s">
        <v>12111</v>
      </c>
      <c r="K186" t="s">
        <v>12112</v>
      </c>
    </row>
    <row r="187" spans="1:11" x14ac:dyDescent="0.15">
      <c r="A187">
        <v>29343810</v>
      </c>
      <c r="B187" t="s">
        <v>5341</v>
      </c>
      <c r="C187" t="s">
        <v>12113</v>
      </c>
      <c r="D187" t="s">
        <v>12114</v>
      </c>
      <c r="E187" t="s">
        <v>12115</v>
      </c>
      <c r="F187" t="s">
        <v>11466</v>
      </c>
      <c r="G187">
        <v>2018</v>
      </c>
      <c r="H187">
        <v>43119</v>
      </c>
      <c r="I187" t="s">
        <v>12116</v>
      </c>
      <c r="K187" t="s">
        <v>5351</v>
      </c>
    </row>
    <row r="188" spans="1:11" x14ac:dyDescent="0.15">
      <c r="A188">
        <v>27351774</v>
      </c>
      <c r="B188" t="s">
        <v>12117</v>
      </c>
      <c r="C188" t="s">
        <v>12118</v>
      </c>
      <c r="D188" t="s">
        <v>12119</v>
      </c>
      <c r="E188" t="s">
        <v>11931</v>
      </c>
      <c r="F188" t="s">
        <v>12120</v>
      </c>
      <c r="G188">
        <v>2016</v>
      </c>
      <c r="H188">
        <v>42550</v>
      </c>
      <c r="I188" t="s">
        <v>12121</v>
      </c>
      <c r="K188" t="s">
        <v>12122</v>
      </c>
    </row>
    <row r="189" spans="1:11" x14ac:dyDescent="0.15">
      <c r="A189">
        <v>26412464</v>
      </c>
      <c r="B189" t="s">
        <v>1245</v>
      </c>
      <c r="C189" t="s">
        <v>12123</v>
      </c>
      <c r="D189" t="s">
        <v>12124</v>
      </c>
      <c r="E189" t="s">
        <v>12125</v>
      </c>
      <c r="F189" t="s">
        <v>12126</v>
      </c>
      <c r="G189">
        <v>2016</v>
      </c>
      <c r="H189">
        <v>42276</v>
      </c>
      <c r="K189" t="s">
        <v>1258</v>
      </c>
    </row>
    <row r="190" spans="1:11" x14ac:dyDescent="0.15">
      <c r="A190">
        <v>32020194</v>
      </c>
      <c r="B190" t="s">
        <v>12127</v>
      </c>
      <c r="C190" t="s">
        <v>12128</v>
      </c>
      <c r="D190" t="s">
        <v>12129</v>
      </c>
      <c r="E190" t="s">
        <v>12130</v>
      </c>
      <c r="F190" t="s">
        <v>12131</v>
      </c>
      <c r="G190">
        <v>2020</v>
      </c>
      <c r="H190">
        <v>43867</v>
      </c>
      <c r="I190" t="s">
        <v>12132</v>
      </c>
      <c r="K190" t="s">
        <v>12133</v>
      </c>
    </row>
    <row r="191" spans="1:11" x14ac:dyDescent="0.15">
      <c r="A191">
        <v>32471033</v>
      </c>
      <c r="B191" t="s">
        <v>12134</v>
      </c>
      <c r="C191" t="s">
        <v>12135</v>
      </c>
      <c r="D191" t="s">
        <v>12136</v>
      </c>
      <c r="E191" t="s">
        <v>12137</v>
      </c>
      <c r="F191" t="s">
        <v>11598</v>
      </c>
      <c r="G191">
        <v>2020</v>
      </c>
      <c r="H191">
        <v>43982</v>
      </c>
      <c r="I191" t="s">
        <v>12138</v>
      </c>
      <c r="K191" t="s">
        <v>12139</v>
      </c>
    </row>
    <row r="192" spans="1:11" x14ac:dyDescent="0.15">
      <c r="A192">
        <v>33403678</v>
      </c>
      <c r="B192" t="s">
        <v>12140</v>
      </c>
      <c r="C192" t="s">
        <v>12141</v>
      </c>
      <c r="D192" t="s">
        <v>12142</v>
      </c>
      <c r="E192" t="s">
        <v>12143</v>
      </c>
      <c r="F192" t="s">
        <v>12144</v>
      </c>
      <c r="G192">
        <v>2021</v>
      </c>
      <c r="H192">
        <v>44202</v>
      </c>
      <c r="K192" t="s">
        <v>12145</v>
      </c>
    </row>
    <row r="193" spans="1:11" x14ac:dyDescent="0.15">
      <c r="A193">
        <v>32299821</v>
      </c>
      <c r="B193" t="s">
        <v>6186</v>
      </c>
      <c r="C193" t="s">
        <v>12146</v>
      </c>
      <c r="D193" t="s">
        <v>12147</v>
      </c>
      <c r="E193" t="s">
        <v>12148</v>
      </c>
      <c r="F193" t="s">
        <v>12003</v>
      </c>
      <c r="G193">
        <v>2020</v>
      </c>
      <c r="H193">
        <v>43939</v>
      </c>
      <c r="I193" t="s">
        <v>12149</v>
      </c>
      <c r="J193" t="s">
        <v>12150</v>
      </c>
      <c r="K193" t="s">
        <v>6195</v>
      </c>
    </row>
    <row r="194" spans="1:11" x14ac:dyDescent="0.15">
      <c r="A194">
        <v>31684971</v>
      </c>
      <c r="B194" t="s">
        <v>1026</v>
      </c>
      <c r="C194" t="s">
        <v>12151</v>
      </c>
      <c r="D194" t="s">
        <v>12152</v>
      </c>
      <c r="E194" t="s">
        <v>12153</v>
      </c>
      <c r="F194" t="s">
        <v>12154</v>
      </c>
      <c r="G194">
        <v>2019</v>
      </c>
      <c r="H194">
        <v>43775</v>
      </c>
      <c r="I194" t="s">
        <v>12155</v>
      </c>
      <c r="K194" t="s">
        <v>1037</v>
      </c>
    </row>
    <row r="195" spans="1:11" x14ac:dyDescent="0.15">
      <c r="A195">
        <v>31808871</v>
      </c>
      <c r="B195" t="s">
        <v>8663</v>
      </c>
      <c r="C195" t="s">
        <v>12156</v>
      </c>
      <c r="D195" t="s">
        <v>12157</v>
      </c>
      <c r="E195" t="s">
        <v>12158</v>
      </c>
      <c r="F195" t="s">
        <v>12159</v>
      </c>
      <c r="G195">
        <v>2019</v>
      </c>
      <c r="H195">
        <v>43806</v>
      </c>
      <c r="I195" t="s">
        <v>12160</v>
      </c>
      <c r="K195" t="s">
        <v>12161</v>
      </c>
    </row>
    <row r="196" spans="1:11" x14ac:dyDescent="0.15">
      <c r="A196">
        <v>32574550</v>
      </c>
      <c r="B196" t="s">
        <v>12162</v>
      </c>
      <c r="C196" t="s">
        <v>12163</v>
      </c>
      <c r="D196" t="s">
        <v>12164</v>
      </c>
      <c r="E196" t="s">
        <v>12165</v>
      </c>
      <c r="F196" t="s">
        <v>12166</v>
      </c>
      <c r="G196">
        <v>2020</v>
      </c>
      <c r="H196">
        <v>44006</v>
      </c>
      <c r="I196" t="s">
        <v>12167</v>
      </c>
      <c r="K196" t="s">
        <v>12168</v>
      </c>
    </row>
    <row r="197" spans="1:11" x14ac:dyDescent="0.15">
      <c r="A197">
        <v>31143191</v>
      </c>
      <c r="B197" t="s">
        <v>12169</v>
      </c>
      <c r="C197" t="s">
        <v>12170</v>
      </c>
      <c r="D197" t="s">
        <v>12171</v>
      </c>
      <c r="E197" t="s">
        <v>12172</v>
      </c>
      <c r="F197" t="s">
        <v>11350</v>
      </c>
      <c r="G197">
        <v>2019</v>
      </c>
      <c r="H197">
        <v>43616</v>
      </c>
      <c r="I197" t="s">
        <v>12173</v>
      </c>
      <c r="K197" t="s">
        <v>12174</v>
      </c>
    </row>
    <row r="198" spans="1:11" x14ac:dyDescent="0.15">
      <c r="A198">
        <v>32134252</v>
      </c>
      <c r="B198" t="s">
        <v>2804</v>
      </c>
      <c r="C198" t="s">
        <v>12175</v>
      </c>
      <c r="D198" t="s">
        <v>12176</v>
      </c>
      <c r="E198" t="s">
        <v>12153</v>
      </c>
      <c r="F198" t="s">
        <v>11714</v>
      </c>
      <c r="G198">
        <v>2020</v>
      </c>
      <c r="H198">
        <v>43896</v>
      </c>
      <c r="K198" t="s">
        <v>2815</v>
      </c>
    </row>
    <row r="199" spans="1:11" x14ac:dyDescent="0.15">
      <c r="A199">
        <v>31371728</v>
      </c>
      <c r="B199" t="s">
        <v>5253</v>
      </c>
      <c r="C199" t="s">
        <v>12177</v>
      </c>
      <c r="D199" t="s">
        <v>12178</v>
      </c>
      <c r="E199" t="s">
        <v>11164</v>
      </c>
      <c r="F199" t="s">
        <v>12179</v>
      </c>
      <c r="G199">
        <v>2019</v>
      </c>
      <c r="H199">
        <v>43680</v>
      </c>
      <c r="I199" t="s">
        <v>12180</v>
      </c>
      <c r="K199" t="s">
        <v>5261</v>
      </c>
    </row>
    <row r="200" spans="1:11" x14ac:dyDescent="0.15">
      <c r="A200">
        <v>32246814</v>
      </c>
      <c r="B200" t="s">
        <v>9139</v>
      </c>
      <c r="C200" t="s">
        <v>12181</v>
      </c>
      <c r="D200" t="s">
        <v>12182</v>
      </c>
      <c r="E200" t="s">
        <v>12183</v>
      </c>
      <c r="F200" t="s">
        <v>12184</v>
      </c>
      <c r="G200">
        <v>2020</v>
      </c>
      <c r="H200">
        <v>43926</v>
      </c>
      <c r="I200" t="s">
        <v>12185</v>
      </c>
      <c r="K200" t="s">
        <v>9149</v>
      </c>
    </row>
    <row r="201" spans="1:11" x14ac:dyDescent="0.15">
      <c r="A201">
        <v>31660712</v>
      </c>
      <c r="B201" t="s">
        <v>2912</v>
      </c>
      <c r="C201" t="s">
        <v>12186</v>
      </c>
      <c r="D201" t="s">
        <v>12187</v>
      </c>
      <c r="E201" t="s">
        <v>12188</v>
      </c>
      <c r="F201" t="s">
        <v>11453</v>
      </c>
      <c r="G201">
        <v>2019</v>
      </c>
      <c r="H201">
        <v>43768</v>
      </c>
      <c r="K201" t="s">
        <v>2920</v>
      </c>
    </row>
    <row r="202" spans="1:11" x14ac:dyDescent="0.15">
      <c r="A202">
        <v>32744099</v>
      </c>
      <c r="B202" t="s">
        <v>2450</v>
      </c>
      <c r="C202" t="s">
        <v>12189</v>
      </c>
      <c r="D202" t="s">
        <v>12190</v>
      </c>
      <c r="E202" t="s">
        <v>12191</v>
      </c>
      <c r="F202" t="s">
        <v>12192</v>
      </c>
      <c r="G202">
        <v>2020</v>
      </c>
      <c r="H202">
        <v>44047</v>
      </c>
      <c r="K202" t="s">
        <v>2465</v>
      </c>
    </row>
    <row r="203" spans="1:11" x14ac:dyDescent="0.15">
      <c r="A203">
        <v>33693781</v>
      </c>
      <c r="B203" t="s">
        <v>9969</v>
      </c>
      <c r="C203" t="s">
        <v>12193</v>
      </c>
      <c r="D203" t="s">
        <v>12194</v>
      </c>
      <c r="E203" t="s">
        <v>12195</v>
      </c>
      <c r="F203" t="s">
        <v>12196</v>
      </c>
      <c r="G203">
        <v>2021</v>
      </c>
      <c r="H203">
        <v>44266</v>
      </c>
      <c r="I203" t="s">
        <v>12197</v>
      </c>
      <c r="K203" t="s">
        <v>9978</v>
      </c>
    </row>
    <row r="204" spans="1:11" x14ac:dyDescent="0.15">
      <c r="A204">
        <v>31903745</v>
      </c>
      <c r="B204" t="s">
        <v>7058</v>
      </c>
      <c r="C204" t="s">
        <v>12198</v>
      </c>
      <c r="D204" t="s">
        <v>12199</v>
      </c>
      <c r="E204" t="s">
        <v>12200</v>
      </c>
      <c r="F204" t="s">
        <v>11453</v>
      </c>
      <c r="G204">
        <v>2020</v>
      </c>
      <c r="H204">
        <v>43837</v>
      </c>
      <c r="K204" t="s">
        <v>7068</v>
      </c>
    </row>
    <row r="205" spans="1:11" x14ac:dyDescent="0.15">
      <c r="A205">
        <v>2655710</v>
      </c>
      <c r="B205" t="s">
        <v>12201</v>
      </c>
      <c r="C205" t="s">
        <v>12202</v>
      </c>
      <c r="D205" t="s">
        <v>12203</v>
      </c>
      <c r="E205" t="s">
        <v>12204</v>
      </c>
      <c r="F205" t="s">
        <v>12205</v>
      </c>
      <c r="G205">
        <v>1989</v>
      </c>
      <c r="H205">
        <v>32637</v>
      </c>
      <c r="K205" t="s">
        <v>12206</v>
      </c>
    </row>
    <row r="206" spans="1:11" x14ac:dyDescent="0.15">
      <c r="A206">
        <v>32160132</v>
      </c>
      <c r="B206" t="s">
        <v>12207</v>
      </c>
      <c r="C206" t="s">
        <v>12208</v>
      </c>
      <c r="D206" t="s">
        <v>12209</v>
      </c>
      <c r="E206" t="s">
        <v>12210</v>
      </c>
      <c r="F206" t="s">
        <v>12211</v>
      </c>
      <c r="G206">
        <v>2020</v>
      </c>
      <c r="H206">
        <v>43902</v>
      </c>
      <c r="I206" t="s">
        <v>12212</v>
      </c>
      <c r="J206" t="s">
        <v>12213</v>
      </c>
      <c r="K206" t="s">
        <v>9579</v>
      </c>
    </row>
    <row r="207" spans="1:11" x14ac:dyDescent="0.15">
      <c r="A207">
        <v>32603406</v>
      </c>
      <c r="B207" t="s">
        <v>12214</v>
      </c>
      <c r="C207" t="s">
        <v>12215</v>
      </c>
      <c r="D207" t="s">
        <v>12216</v>
      </c>
      <c r="E207" t="s">
        <v>12217</v>
      </c>
      <c r="F207" t="s">
        <v>11871</v>
      </c>
      <c r="G207">
        <v>2022</v>
      </c>
      <c r="H207">
        <v>44013</v>
      </c>
      <c r="I207" t="s">
        <v>12218</v>
      </c>
      <c r="K207" t="s">
        <v>1131</v>
      </c>
    </row>
    <row r="208" spans="1:11" x14ac:dyDescent="0.15">
      <c r="A208">
        <v>30499000</v>
      </c>
      <c r="B208" t="s">
        <v>12219</v>
      </c>
      <c r="C208" t="s">
        <v>12220</v>
      </c>
      <c r="D208" t="s">
        <v>12221</v>
      </c>
      <c r="E208" t="s">
        <v>12222</v>
      </c>
      <c r="F208" t="s">
        <v>11860</v>
      </c>
      <c r="G208">
        <v>2019</v>
      </c>
      <c r="H208">
        <v>43435</v>
      </c>
      <c r="K208" t="s">
        <v>12223</v>
      </c>
    </row>
    <row r="209" spans="1:11" x14ac:dyDescent="0.15">
      <c r="A209">
        <v>25820722</v>
      </c>
      <c r="B209" t="s">
        <v>12224</v>
      </c>
      <c r="C209" t="s">
        <v>12225</v>
      </c>
      <c r="D209" t="s">
        <v>12226</v>
      </c>
      <c r="E209" t="s">
        <v>12227</v>
      </c>
      <c r="F209" t="s">
        <v>11317</v>
      </c>
      <c r="G209">
        <v>2015</v>
      </c>
      <c r="H209">
        <v>42094</v>
      </c>
      <c r="K209" t="s">
        <v>593</v>
      </c>
    </row>
    <row r="210" spans="1:11" x14ac:dyDescent="0.15">
      <c r="A210">
        <v>32441840</v>
      </c>
      <c r="B210" t="s">
        <v>511</v>
      </c>
      <c r="C210" t="s">
        <v>12228</v>
      </c>
      <c r="D210" t="s">
        <v>12229</v>
      </c>
      <c r="E210" t="s">
        <v>12230</v>
      </c>
      <c r="F210" t="s">
        <v>11962</v>
      </c>
      <c r="G210">
        <v>2020</v>
      </c>
      <c r="H210">
        <v>43974</v>
      </c>
      <c r="K210" t="s">
        <v>524</v>
      </c>
    </row>
    <row r="211" spans="1:11" x14ac:dyDescent="0.15">
      <c r="A211">
        <v>32912198</v>
      </c>
      <c r="B211" t="s">
        <v>4739</v>
      </c>
      <c r="C211" t="s">
        <v>12231</v>
      </c>
      <c r="D211" t="s">
        <v>12232</v>
      </c>
      <c r="E211" t="s">
        <v>12233</v>
      </c>
      <c r="F211" t="s">
        <v>12154</v>
      </c>
      <c r="G211">
        <v>2020</v>
      </c>
      <c r="H211">
        <v>44085</v>
      </c>
      <c r="I211" t="s">
        <v>12234</v>
      </c>
      <c r="K211" t="s">
        <v>4749</v>
      </c>
    </row>
    <row r="212" spans="1:11" x14ac:dyDescent="0.15">
      <c r="A212">
        <v>32530449</v>
      </c>
      <c r="B212" t="s">
        <v>4800</v>
      </c>
      <c r="C212" t="s">
        <v>12235</v>
      </c>
      <c r="D212" t="s">
        <v>12236</v>
      </c>
      <c r="E212" t="s">
        <v>12237</v>
      </c>
      <c r="F212" t="s">
        <v>12238</v>
      </c>
      <c r="G212">
        <v>2020</v>
      </c>
      <c r="H212">
        <v>43995</v>
      </c>
      <c r="K212" t="s">
        <v>4812</v>
      </c>
    </row>
    <row r="213" spans="1:11" x14ac:dyDescent="0.15">
      <c r="A213">
        <v>31182116</v>
      </c>
      <c r="B213" t="s">
        <v>12239</v>
      </c>
      <c r="C213" t="s">
        <v>12240</v>
      </c>
      <c r="D213" t="s">
        <v>12241</v>
      </c>
      <c r="E213" t="s">
        <v>12242</v>
      </c>
      <c r="F213" t="s">
        <v>12243</v>
      </c>
      <c r="G213">
        <v>2019</v>
      </c>
      <c r="H213">
        <v>43628</v>
      </c>
      <c r="I213" t="s">
        <v>12244</v>
      </c>
      <c r="K213" t="s">
        <v>6181</v>
      </c>
    </row>
    <row r="214" spans="1:11" x14ac:dyDescent="0.15">
      <c r="A214">
        <v>32706245</v>
      </c>
      <c r="B214" t="s">
        <v>12245</v>
      </c>
      <c r="C214" t="s">
        <v>12246</v>
      </c>
      <c r="D214" t="s">
        <v>12247</v>
      </c>
      <c r="E214" t="s">
        <v>12248</v>
      </c>
      <c r="F214" t="s">
        <v>11453</v>
      </c>
      <c r="G214">
        <v>2020</v>
      </c>
      <c r="H214">
        <v>44037</v>
      </c>
      <c r="K214" t="s">
        <v>12249</v>
      </c>
    </row>
    <row r="215" spans="1:11" x14ac:dyDescent="0.15">
      <c r="A215">
        <v>30234974</v>
      </c>
      <c r="B215" t="s">
        <v>12250</v>
      </c>
      <c r="C215" t="s">
        <v>12251</v>
      </c>
      <c r="D215" t="s">
        <v>12252</v>
      </c>
      <c r="E215" t="s">
        <v>12253</v>
      </c>
      <c r="F215" t="s">
        <v>11453</v>
      </c>
      <c r="G215">
        <v>2018</v>
      </c>
      <c r="H215">
        <v>43364</v>
      </c>
      <c r="K215" t="s">
        <v>12254</v>
      </c>
    </row>
    <row r="216" spans="1:11" x14ac:dyDescent="0.15">
      <c r="A216">
        <v>27179617</v>
      </c>
      <c r="B216" t="s">
        <v>12255</v>
      </c>
      <c r="C216" t="s">
        <v>12256</v>
      </c>
      <c r="D216" t="s">
        <v>12257</v>
      </c>
      <c r="E216" t="s">
        <v>12258</v>
      </c>
      <c r="F216" t="s">
        <v>12259</v>
      </c>
      <c r="G216">
        <v>2016</v>
      </c>
      <c r="H216">
        <v>42506</v>
      </c>
      <c r="K216" t="s">
        <v>12260</v>
      </c>
    </row>
    <row r="217" spans="1:11" x14ac:dyDescent="0.15">
      <c r="A217">
        <v>31160785</v>
      </c>
      <c r="B217" t="s">
        <v>12261</v>
      </c>
      <c r="C217" t="s">
        <v>12262</v>
      </c>
      <c r="D217" t="s">
        <v>12263</v>
      </c>
      <c r="E217" t="s">
        <v>12264</v>
      </c>
      <c r="F217" t="s">
        <v>12265</v>
      </c>
      <c r="G217">
        <v>2019</v>
      </c>
      <c r="H217">
        <v>43621</v>
      </c>
      <c r="I217" t="s">
        <v>12266</v>
      </c>
      <c r="J217" t="s">
        <v>12267</v>
      </c>
      <c r="K217" t="s">
        <v>12268</v>
      </c>
    </row>
    <row r="218" spans="1:11" x14ac:dyDescent="0.15">
      <c r="A218">
        <v>32232575</v>
      </c>
      <c r="B218" t="s">
        <v>4446</v>
      </c>
      <c r="C218" t="s">
        <v>12269</v>
      </c>
      <c r="D218" t="s">
        <v>12270</v>
      </c>
      <c r="E218" t="s">
        <v>12271</v>
      </c>
      <c r="F218" t="s">
        <v>12272</v>
      </c>
      <c r="G218">
        <v>2020</v>
      </c>
      <c r="H218">
        <v>43923</v>
      </c>
      <c r="K218" t="s">
        <v>4458</v>
      </c>
    </row>
    <row r="219" spans="1:11" x14ac:dyDescent="0.15">
      <c r="A219">
        <v>25772109</v>
      </c>
      <c r="B219" t="s">
        <v>3734</v>
      </c>
      <c r="C219" t="s">
        <v>12273</v>
      </c>
      <c r="D219" t="s">
        <v>12274</v>
      </c>
      <c r="E219" t="s">
        <v>12275</v>
      </c>
      <c r="F219" t="s">
        <v>12276</v>
      </c>
      <c r="G219">
        <v>2015</v>
      </c>
      <c r="H219">
        <v>42080</v>
      </c>
      <c r="K219" t="s">
        <v>3746</v>
      </c>
    </row>
    <row r="220" spans="1:11" x14ac:dyDescent="0.15">
      <c r="A220">
        <v>35590205</v>
      </c>
      <c r="B220" t="s">
        <v>12277</v>
      </c>
      <c r="C220" t="s">
        <v>12278</v>
      </c>
      <c r="D220" t="s">
        <v>12279</v>
      </c>
      <c r="E220" t="s">
        <v>12280</v>
      </c>
      <c r="F220" t="s">
        <v>12281</v>
      </c>
      <c r="G220">
        <v>2021</v>
      </c>
      <c r="H220">
        <v>44700</v>
      </c>
      <c r="K220" t="s">
        <v>12282</v>
      </c>
    </row>
    <row r="221" spans="1:11" x14ac:dyDescent="0.15">
      <c r="A221">
        <v>33169756</v>
      </c>
      <c r="B221" t="s">
        <v>5687</v>
      </c>
      <c r="C221" t="s">
        <v>12283</v>
      </c>
      <c r="D221" t="s">
        <v>12284</v>
      </c>
      <c r="E221" t="s">
        <v>12285</v>
      </c>
      <c r="F221" t="s">
        <v>11702</v>
      </c>
      <c r="G221">
        <v>2020</v>
      </c>
      <c r="H221">
        <v>44145</v>
      </c>
      <c r="K221" t="s">
        <v>5697</v>
      </c>
    </row>
    <row r="222" spans="1:11" x14ac:dyDescent="0.15">
      <c r="A222">
        <v>26126838</v>
      </c>
      <c r="B222" t="s">
        <v>12286</v>
      </c>
      <c r="C222" t="s">
        <v>12287</v>
      </c>
      <c r="D222" t="s">
        <v>12288</v>
      </c>
      <c r="E222" t="s">
        <v>12289</v>
      </c>
      <c r="F222" t="s">
        <v>12290</v>
      </c>
      <c r="G222">
        <v>2015</v>
      </c>
      <c r="H222">
        <v>42187</v>
      </c>
      <c r="K222" t="s">
        <v>237</v>
      </c>
    </row>
    <row r="223" spans="1:11" x14ac:dyDescent="0.15">
      <c r="A223">
        <v>29593276</v>
      </c>
      <c r="B223" t="s">
        <v>12291</v>
      </c>
      <c r="C223" t="s">
        <v>12292</v>
      </c>
      <c r="D223" t="s">
        <v>12293</v>
      </c>
      <c r="E223" t="s">
        <v>12294</v>
      </c>
      <c r="F223" t="s">
        <v>11251</v>
      </c>
      <c r="G223">
        <v>2018</v>
      </c>
      <c r="H223">
        <v>43189</v>
      </c>
      <c r="I223" t="s">
        <v>12295</v>
      </c>
      <c r="K223" t="s">
        <v>12296</v>
      </c>
    </row>
    <row r="224" spans="1:11" x14ac:dyDescent="0.15">
      <c r="A224">
        <v>25111183</v>
      </c>
      <c r="B224" t="s">
        <v>12297</v>
      </c>
      <c r="C224" t="s">
        <v>12298</v>
      </c>
      <c r="D224" t="s">
        <v>12299</v>
      </c>
      <c r="E224" t="s">
        <v>12300</v>
      </c>
      <c r="F224" t="s">
        <v>11419</v>
      </c>
      <c r="G224">
        <v>2014</v>
      </c>
      <c r="H224">
        <v>41863</v>
      </c>
      <c r="I224" t="s">
        <v>12301</v>
      </c>
      <c r="K224" t="s">
        <v>438</v>
      </c>
    </row>
    <row r="225" spans="1:11" x14ac:dyDescent="0.15">
      <c r="A225">
        <v>31732191</v>
      </c>
      <c r="B225" t="s">
        <v>10778</v>
      </c>
      <c r="C225" t="s">
        <v>12302</v>
      </c>
      <c r="D225" t="s">
        <v>12303</v>
      </c>
      <c r="E225" t="s">
        <v>12304</v>
      </c>
      <c r="F225" t="s">
        <v>12305</v>
      </c>
      <c r="G225">
        <v>2020</v>
      </c>
      <c r="H225">
        <v>43786</v>
      </c>
      <c r="K225" t="s">
        <v>10791</v>
      </c>
    </row>
    <row r="226" spans="1:11" x14ac:dyDescent="0.15">
      <c r="A226">
        <v>28401635</v>
      </c>
      <c r="B226" t="s">
        <v>6523</v>
      </c>
      <c r="C226" t="s">
        <v>12306</v>
      </c>
      <c r="D226" t="s">
        <v>12307</v>
      </c>
      <c r="E226" t="s">
        <v>12308</v>
      </c>
      <c r="F226" t="s">
        <v>12309</v>
      </c>
      <c r="G226">
        <v>2017</v>
      </c>
      <c r="H226">
        <v>42838</v>
      </c>
      <c r="K226" t="s">
        <v>6531</v>
      </c>
    </row>
    <row r="227" spans="1:11" x14ac:dyDescent="0.15">
      <c r="A227">
        <v>21172122</v>
      </c>
      <c r="B227" t="s">
        <v>12310</v>
      </c>
      <c r="C227" t="s">
        <v>12311</v>
      </c>
      <c r="D227" t="s">
        <v>12312</v>
      </c>
      <c r="E227" t="s">
        <v>12313</v>
      </c>
      <c r="F227" t="s">
        <v>12314</v>
      </c>
      <c r="G227">
        <v>2011</v>
      </c>
      <c r="H227">
        <v>40534</v>
      </c>
      <c r="K227" t="s">
        <v>12315</v>
      </c>
    </row>
    <row r="228" spans="1:11" x14ac:dyDescent="0.15">
      <c r="A228">
        <v>25988257</v>
      </c>
      <c r="B228" t="s">
        <v>2791</v>
      </c>
      <c r="C228" t="s">
        <v>12316</v>
      </c>
      <c r="D228" t="s">
        <v>12317</v>
      </c>
      <c r="E228" t="s">
        <v>12318</v>
      </c>
      <c r="F228" t="s">
        <v>11466</v>
      </c>
      <c r="G228">
        <v>2015</v>
      </c>
      <c r="H228">
        <v>42144</v>
      </c>
      <c r="I228" t="s">
        <v>12319</v>
      </c>
      <c r="K228" t="s">
        <v>2800</v>
      </c>
    </row>
    <row r="229" spans="1:11" x14ac:dyDescent="0.15">
      <c r="A229">
        <v>28774835</v>
      </c>
      <c r="B229" t="s">
        <v>12320</v>
      </c>
      <c r="C229" t="s">
        <v>12321</v>
      </c>
      <c r="D229" t="s">
        <v>12322</v>
      </c>
      <c r="E229" t="s">
        <v>12323</v>
      </c>
      <c r="F229" t="s">
        <v>12324</v>
      </c>
      <c r="G229">
        <v>2018</v>
      </c>
      <c r="H229">
        <v>42952</v>
      </c>
      <c r="K229" t="s">
        <v>12325</v>
      </c>
    </row>
    <row r="230" spans="1:11" x14ac:dyDescent="0.15">
      <c r="A230">
        <v>34747596</v>
      </c>
      <c r="B230" t="s">
        <v>12326</v>
      </c>
      <c r="C230" t="s">
        <v>12327</v>
      </c>
      <c r="D230" t="s">
        <v>12328</v>
      </c>
      <c r="E230" t="s">
        <v>12329</v>
      </c>
      <c r="F230" t="s">
        <v>11453</v>
      </c>
      <c r="G230">
        <v>2021</v>
      </c>
      <c r="H230">
        <v>44508</v>
      </c>
      <c r="K230" t="s">
        <v>12330</v>
      </c>
    </row>
    <row r="231" spans="1:11" x14ac:dyDescent="0.15">
      <c r="A231">
        <v>26846451</v>
      </c>
      <c r="B231" t="s">
        <v>4085</v>
      </c>
      <c r="C231" t="s">
        <v>12331</v>
      </c>
      <c r="D231" t="s">
        <v>12332</v>
      </c>
      <c r="E231" t="s">
        <v>12333</v>
      </c>
      <c r="F231" t="s">
        <v>12179</v>
      </c>
      <c r="G231">
        <v>2016</v>
      </c>
      <c r="H231">
        <v>42406</v>
      </c>
      <c r="I231" t="s">
        <v>12334</v>
      </c>
      <c r="K231" t="s">
        <v>4098</v>
      </c>
    </row>
    <row r="232" spans="1:11" x14ac:dyDescent="0.15">
      <c r="A232">
        <v>29084979</v>
      </c>
      <c r="B232" t="s">
        <v>8875</v>
      </c>
      <c r="C232" t="s">
        <v>12335</v>
      </c>
      <c r="D232" t="s">
        <v>12336</v>
      </c>
      <c r="E232" t="s">
        <v>12337</v>
      </c>
      <c r="F232" t="s">
        <v>11466</v>
      </c>
      <c r="G232">
        <v>2017</v>
      </c>
      <c r="H232">
        <v>43040</v>
      </c>
      <c r="I232" t="s">
        <v>12338</v>
      </c>
      <c r="K232" t="s">
        <v>8884</v>
      </c>
    </row>
    <row r="233" spans="1:11" x14ac:dyDescent="0.15">
      <c r="A233">
        <v>28433888</v>
      </c>
      <c r="B233" t="s">
        <v>12339</v>
      </c>
      <c r="C233" t="s">
        <v>12340</v>
      </c>
      <c r="D233" t="s">
        <v>12341</v>
      </c>
      <c r="E233" t="s">
        <v>12342</v>
      </c>
      <c r="F233" t="s">
        <v>12343</v>
      </c>
      <c r="G233">
        <v>2017</v>
      </c>
      <c r="H233">
        <v>42849</v>
      </c>
      <c r="K233" t="s">
        <v>1730</v>
      </c>
    </row>
    <row r="234" spans="1:11" x14ac:dyDescent="0.15">
      <c r="A234">
        <v>32867502</v>
      </c>
      <c r="B234" t="s">
        <v>12344</v>
      </c>
      <c r="C234" t="s">
        <v>12345</v>
      </c>
      <c r="D234" t="s">
        <v>12346</v>
      </c>
      <c r="E234" t="s">
        <v>12347</v>
      </c>
      <c r="F234" t="s">
        <v>11453</v>
      </c>
      <c r="G234">
        <v>2020</v>
      </c>
      <c r="H234">
        <v>44076</v>
      </c>
      <c r="K234" t="s">
        <v>12348</v>
      </c>
    </row>
    <row r="235" spans="1:11" x14ac:dyDescent="0.15">
      <c r="A235">
        <v>30760538</v>
      </c>
      <c r="B235" t="s">
        <v>10185</v>
      </c>
      <c r="C235" t="s">
        <v>12349</v>
      </c>
      <c r="D235" t="s">
        <v>12350</v>
      </c>
      <c r="E235" t="s">
        <v>12351</v>
      </c>
      <c r="F235" t="s">
        <v>12352</v>
      </c>
      <c r="G235">
        <v>2019</v>
      </c>
      <c r="H235">
        <v>43511</v>
      </c>
      <c r="I235" t="s">
        <v>12353</v>
      </c>
      <c r="K235" t="s">
        <v>10196</v>
      </c>
    </row>
    <row r="236" spans="1:11" x14ac:dyDescent="0.15">
      <c r="A236">
        <v>31495861</v>
      </c>
      <c r="B236" t="s">
        <v>12354</v>
      </c>
      <c r="C236" t="s">
        <v>12355</v>
      </c>
      <c r="D236" t="s">
        <v>12356</v>
      </c>
      <c r="E236" t="s">
        <v>12357</v>
      </c>
      <c r="F236" t="s">
        <v>11702</v>
      </c>
      <c r="G236">
        <v>2019</v>
      </c>
      <c r="H236">
        <v>43718</v>
      </c>
      <c r="K236" t="s">
        <v>12358</v>
      </c>
    </row>
    <row r="237" spans="1:11" x14ac:dyDescent="0.15">
      <c r="A237">
        <v>24834468</v>
      </c>
      <c r="B237" t="s">
        <v>3587</v>
      </c>
      <c r="C237" t="s">
        <v>12359</v>
      </c>
      <c r="D237" t="s">
        <v>12360</v>
      </c>
      <c r="E237" t="s">
        <v>12361</v>
      </c>
      <c r="F237" t="s">
        <v>12362</v>
      </c>
      <c r="G237">
        <v>2014</v>
      </c>
      <c r="H237">
        <v>41776</v>
      </c>
      <c r="K237" t="s">
        <v>3600</v>
      </c>
    </row>
    <row r="238" spans="1:11" x14ac:dyDescent="0.15">
      <c r="A238">
        <v>35159179</v>
      </c>
      <c r="B238" t="s">
        <v>2093</v>
      </c>
      <c r="C238" t="s">
        <v>12363</v>
      </c>
      <c r="D238" t="s">
        <v>12364</v>
      </c>
      <c r="E238" t="s">
        <v>12365</v>
      </c>
      <c r="F238" t="s">
        <v>11553</v>
      </c>
      <c r="G238">
        <v>2022</v>
      </c>
      <c r="H238">
        <v>44607</v>
      </c>
      <c r="I238" t="s">
        <v>12366</v>
      </c>
      <c r="K238" t="s">
        <v>2104</v>
      </c>
    </row>
    <row r="239" spans="1:11" x14ac:dyDescent="0.15">
      <c r="A239">
        <v>33025277</v>
      </c>
      <c r="B239" t="s">
        <v>12367</v>
      </c>
      <c r="C239" t="s">
        <v>12368</v>
      </c>
      <c r="D239" t="s">
        <v>12369</v>
      </c>
      <c r="E239" t="s">
        <v>12370</v>
      </c>
      <c r="F239" t="s">
        <v>12272</v>
      </c>
      <c r="G239">
        <v>2020</v>
      </c>
      <c r="H239">
        <v>44111</v>
      </c>
      <c r="K239" t="s">
        <v>12371</v>
      </c>
    </row>
    <row r="240" spans="1:11" x14ac:dyDescent="0.15">
      <c r="A240">
        <v>33973465</v>
      </c>
      <c r="B240" t="s">
        <v>5579</v>
      </c>
      <c r="C240" t="s">
        <v>12372</v>
      </c>
      <c r="D240" t="s">
        <v>12373</v>
      </c>
      <c r="E240" t="s">
        <v>12130</v>
      </c>
      <c r="F240" t="s">
        <v>11453</v>
      </c>
      <c r="G240">
        <v>2021</v>
      </c>
      <c r="H240">
        <v>44327</v>
      </c>
      <c r="K240" t="s">
        <v>5588</v>
      </c>
    </row>
    <row r="241" spans="1:11" x14ac:dyDescent="0.15">
      <c r="A241">
        <v>35830762</v>
      </c>
      <c r="B241" t="s">
        <v>12374</v>
      </c>
      <c r="C241" t="s">
        <v>12375</v>
      </c>
      <c r="D241" t="s">
        <v>12376</v>
      </c>
      <c r="E241" t="s">
        <v>12377</v>
      </c>
      <c r="F241" t="s">
        <v>12378</v>
      </c>
      <c r="G241">
        <v>2022</v>
      </c>
      <c r="H241">
        <v>44755</v>
      </c>
      <c r="K241" t="s">
        <v>12379</v>
      </c>
    </row>
    <row r="242" spans="1:11" x14ac:dyDescent="0.15">
      <c r="A242">
        <v>31322581</v>
      </c>
      <c r="B242" t="s">
        <v>12380</v>
      </c>
      <c r="C242" t="s">
        <v>12381</v>
      </c>
      <c r="D242" t="s">
        <v>12382</v>
      </c>
      <c r="E242" t="s">
        <v>12383</v>
      </c>
      <c r="F242" t="s">
        <v>12384</v>
      </c>
      <c r="G242">
        <v>2019</v>
      </c>
      <c r="H242">
        <v>43666</v>
      </c>
      <c r="I242" t="s">
        <v>12385</v>
      </c>
      <c r="K242" t="s">
        <v>12386</v>
      </c>
    </row>
    <row r="243" spans="1:11" x14ac:dyDescent="0.15">
      <c r="A243">
        <v>26959653</v>
      </c>
      <c r="B243" t="s">
        <v>7823</v>
      </c>
      <c r="C243" t="s">
        <v>12387</v>
      </c>
      <c r="D243" t="s">
        <v>12388</v>
      </c>
      <c r="E243" t="s">
        <v>12389</v>
      </c>
      <c r="F243" t="s">
        <v>12390</v>
      </c>
      <c r="G243">
        <v>2016</v>
      </c>
      <c r="H243">
        <v>42439</v>
      </c>
      <c r="K243" t="s">
        <v>7835</v>
      </c>
    </row>
    <row r="244" spans="1:11" x14ac:dyDescent="0.15">
      <c r="A244">
        <v>31506601</v>
      </c>
      <c r="B244" t="s">
        <v>3477</v>
      </c>
      <c r="C244" t="s">
        <v>12391</v>
      </c>
      <c r="D244" t="s">
        <v>12392</v>
      </c>
      <c r="E244" t="s">
        <v>12393</v>
      </c>
      <c r="F244" t="s">
        <v>11466</v>
      </c>
      <c r="G244">
        <v>2019</v>
      </c>
      <c r="H244">
        <v>43720</v>
      </c>
      <c r="I244" t="s">
        <v>12394</v>
      </c>
      <c r="K244" t="s">
        <v>3484</v>
      </c>
    </row>
    <row r="245" spans="1:11" x14ac:dyDescent="0.15">
      <c r="A245">
        <v>33867829</v>
      </c>
      <c r="B245" t="s">
        <v>12395</v>
      </c>
      <c r="C245" t="s">
        <v>12396</v>
      </c>
      <c r="D245" t="s">
        <v>12397</v>
      </c>
      <c r="E245" t="s">
        <v>11392</v>
      </c>
      <c r="F245" t="s">
        <v>11387</v>
      </c>
      <c r="G245">
        <v>2021</v>
      </c>
      <c r="H245">
        <v>44305</v>
      </c>
      <c r="I245" t="s">
        <v>12398</v>
      </c>
      <c r="K245" t="s">
        <v>9626</v>
      </c>
    </row>
    <row r="246" spans="1:11" x14ac:dyDescent="0.15">
      <c r="A246">
        <v>26272609</v>
      </c>
      <c r="B246" t="s">
        <v>12399</v>
      </c>
      <c r="C246" t="s">
        <v>12400</v>
      </c>
      <c r="D246" t="s">
        <v>12401</v>
      </c>
      <c r="E246" t="s">
        <v>12402</v>
      </c>
      <c r="F246" t="s">
        <v>11800</v>
      </c>
      <c r="G246">
        <v>2015</v>
      </c>
      <c r="H246">
        <v>42231</v>
      </c>
      <c r="I246" t="s">
        <v>12403</v>
      </c>
      <c r="K246" t="s">
        <v>5071</v>
      </c>
    </row>
    <row r="247" spans="1:11" x14ac:dyDescent="0.15">
      <c r="A247">
        <v>29330365</v>
      </c>
      <c r="B247" t="s">
        <v>3768</v>
      </c>
      <c r="C247" t="s">
        <v>12404</v>
      </c>
      <c r="D247" t="s">
        <v>12405</v>
      </c>
      <c r="E247" t="s">
        <v>12406</v>
      </c>
      <c r="F247" t="s">
        <v>11251</v>
      </c>
      <c r="G247">
        <v>2018</v>
      </c>
      <c r="H247">
        <v>43114</v>
      </c>
      <c r="I247" t="s">
        <v>12407</v>
      </c>
      <c r="K247" t="s">
        <v>3777</v>
      </c>
    </row>
    <row r="248" spans="1:11" x14ac:dyDescent="0.15">
      <c r="A248">
        <v>15256559</v>
      </c>
      <c r="B248" t="s">
        <v>5969</v>
      </c>
      <c r="C248" t="s">
        <v>12408</v>
      </c>
      <c r="D248" t="s">
        <v>12409</v>
      </c>
      <c r="E248" t="s">
        <v>12410</v>
      </c>
      <c r="F248" t="s">
        <v>12411</v>
      </c>
      <c r="G248">
        <v>2004</v>
      </c>
      <c r="H248">
        <v>38185</v>
      </c>
      <c r="K248" t="s">
        <v>5979</v>
      </c>
    </row>
    <row r="249" spans="1:11" x14ac:dyDescent="0.15">
      <c r="A249">
        <v>32153563</v>
      </c>
      <c r="B249" t="s">
        <v>10869</v>
      </c>
      <c r="C249" t="s">
        <v>12412</v>
      </c>
      <c r="D249" t="s">
        <v>12413</v>
      </c>
      <c r="E249" t="s">
        <v>12414</v>
      </c>
      <c r="F249" t="s">
        <v>11350</v>
      </c>
      <c r="G249">
        <v>2020</v>
      </c>
      <c r="H249">
        <v>43901</v>
      </c>
      <c r="I249" t="s">
        <v>12415</v>
      </c>
      <c r="K249" t="s">
        <v>10878</v>
      </c>
    </row>
    <row r="250" spans="1:11" x14ac:dyDescent="0.15">
      <c r="A250">
        <v>35538484</v>
      </c>
      <c r="B250" t="s">
        <v>12416</v>
      </c>
      <c r="C250" t="s">
        <v>12417</v>
      </c>
      <c r="D250" t="s">
        <v>12418</v>
      </c>
      <c r="E250" t="s">
        <v>12419</v>
      </c>
      <c r="F250" t="s">
        <v>11423</v>
      </c>
      <c r="G250">
        <v>2022</v>
      </c>
      <c r="H250">
        <v>44691</v>
      </c>
      <c r="I250" t="s">
        <v>12420</v>
      </c>
      <c r="K250" t="s">
        <v>12421</v>
      </c>
    </row>
    <row r="251" spans="1:11" x14ac:dyDescent="0.15">
      <c r="A251">
        <v>32444558</v>
      </c>
      <c r="B251" t="s">
        <v>12422</v>
      </c>
      <c r="C251" t="s">
        <v>12423</v>
      </c>
      <c r="D251" t="s">
        <v>12424</v>
      </c>
      <c r="E251" t="s">
        <v>12425</v>
      </c>
      <c r="F251" t="s">
        <v>12384</v>
      </c>
      <c r="G251">
        <v>2020</v>
      </c>
      <c r="H251">
        <v>43975</v>
      </c>
      <c r="K251" t="s">
        <v>12426</v>
      </c>
    </row>
    <row r="252" spans="1:11" x14ac:dyDescent="0.15">
      <c r="A252">
        <v>31478613</v>
      </c>
      <c r="B252" t="s">
        <v>3848</v>
      </c>
      <c r="C252" t="s">
        <v>12427</v>
      </c>
      <c r="D252" t="s">
        <v>12428</v>
      </c>
      <c r="E252" t="s">
        <v>12429</v>
      </c>
      <c r="F252" t="s">
        <v>11927</v>
      </c>
      <c r="G252">
        <v>2019</v>
      </c>
      <c r="H252">
        <v>43712</v>
      </c>
      <c r="K252" t="s">
        <v>3859</v>
      </c>
    </row>
    <row r="253" spans="1:11" x14ac:dyDescent="0.15">
      <c r="A253">
        <v>33844518</v>
      </c>
      <c r="B253" t="s">
        <v>8442</v>
      </c>
      <c r="C253" t="s">
        <v>12430</v>
      </c>
      <c r="D253" t="s">
        <v>12431</v>
      </c>
      <c r="E253" t="s">
        <v>12432</v>
      </c>
      <c r="F253" t="s">
        <v>11453</v>
      </c>
      <c r="G253">
        <v>2021</v>
      </c>
      <c r="H253">
        <v>44298</v>
      </c>
      <c r="K253" t="s">
        <v>8451</v>
      </c>
    </row>
    <row r="254" spans="1:11" x14ac:dyDescent="0.15">
      <c r="A254">
        <v>24748612</v>
      </c>
      <c r="B254" t="s">
        <v>12433</v>
      </c>
      <c r="C254" t="s">
        <v>12434</v>
      </c>
      <c r="D254" t="s">
        <v>12435</v>
      </c>
      <c r="E254" t="s">
        <v>12436</v>
      </c>
      <c r="F254" t="s">
        <v>12437</v>
      </c>
      <c r="G254">
        <v>2014</v>
      </c>
      <c r="H254">
        <v>41751</v>
      </c>
      <c r="I254" t="s">
        <v>12438</v>
      </c>
      <c r="K254" t="s">
        <v>4706</v>
      </c>
    </row>
    <row r="255" spans="1:11" x14ac:dyDescent="0.15">
      <c r="A255">
        <v>29747217</v>
      </c>
      <c r="B255" t="s">
        <v>12439</v>
      </c>
      <c r="C255" t="s">
        <v>12440</v>
      </c>
      <c r="D255" t="s">
        <v>12441</v>
      </c>
      <c r="E255" t="s">
        <v>12442</v>
      </c>
      <c r="F255" t="s">
        <v>12443</v>
      </c>
      <c r="G255">
        <v>2018</v>
      </c>
      <c r="H255">
        <v>43231</v>
      </c>
      <c r="K255" t="s">
        <v>12444</v>
      </c>
    </row>
    <row r="256" spans="1:11" x14ac:dyDescent="0.15">
      <c r="A256">
        <v>26409934</v>
      </c>
      <c r="B256" t="s">
        <v>12445</v>
      </c>
      <c r="C256" t="s">
        <v>12446</v>
      </c>
      <c r="D256" t="s">
        <v>12447</v>
      </c>
      <c r="E256" t="s">
        <v>12448</v>
      </c>
      <c r="F256" t="s">
        <v>12449</v>
      </c>
      <c r="G256">
        <v>2016</v>
      </c>
      <c r="H256">
        <v>42275</v>
      </c>
      <c r="K256" t="s">
        <v>12450</v>
      </c>
    </row>
    <row r="257" spans="1:11" x14ac:dyDescent="0.15">
      <c r="A257">
        <v>30644724</v>
      </c>
      <c r="B257" t="s">
        <v>2012</v>
      </c>
      <c r="C257" t="s">
        <v>12451</v>
      </c>
      <c r="D257" t="s">
        <v>12452</v>
      </c>
      <c r="E257" t="s">
        <v>12453</v>
      </c>
      <c r="F257" t="s">
        <v>11453</v>
      </c>
      <c r="G257">
        <v>2019</v>
      </c>
      <c r="H257">
        <v>43481</v>
      </c>
      <c r="K257" t="s">
        <v>2025</v>
      </c>
    </row>
    <row r="258" spans="1:11" x14ac:dyDescent="0.15">
      <c r="A258">
        <v>20428099</v>
      </c>
      <c r="B258" t="s">
        <v>1297</v>
      </c>
      <c r="C258" t="s">
        <v>12454</v>
      </c>
      <c r="D258" t="s">
        <v>12455</v>
      </c>
      <c r="E258" t="s">
        <v>12456</v>
      </c>
      <c r="F258" t="s">
        <v>12457</v>
      </c>
      <c r="G258">
        <v>2010</v>
      </c>
      <c r="H258">
        <v>40298</v>
      </c>
      <c r="I258" t="s">
        <v>12458</v>
      </c>
      <c r="J258" t="s">
        <v>12459</v>
      </c>
      <c r="K258" t="s">
        <v>1310</v>
      </c>
    </row>
    <row r="259" spans="1:11" x14ac:dyDescent="0.15">
      <c r="A259">
        <v>24398677</v>
      </c>
      <c r="B259" t="s">
        <v>12460</v>
      </c>
      <c r="C259" t="s">
        <v>12461</v>
      </c>
      <c r="D259" t="s">
        <v>12462</v>
      </c>
      <c r="E259" t="s">
        <v>12463</v>
      </c>
      <c r="F259" t="s">
        <v>11800</v>
      </c>
      <c r="G259">
        <v>2014</v>
      </c>
      <c r="H259">
        <v>41648</v>
      </c>
      <c r="I259" t="s">
        <v>12464</v>
      </c>
      <c r="K259" t="s">
        <v>942</v>
      </c>
    </row>
    <row r="260" spans="1:11" x14ac:dyDescent="0.15">
      <c r="A260">
        <v>21285958</v>
      </c>
      <c r="B260" t="s">
        <v>4727</v>
      </c>
      <c r="C260" t="s">
        <v>12465</v>
      </c>
      <c r="D260" t="s">
        <v>12466</v>
      </c>
      <c r="E260" t="s">
        <v>12318</v>
      </c>
      <c r="F260" t="s">
        <v>11251</v>
      </c>
      <c r="G260">
        <v>2011</v>
      </c>
      <c r="H260">
        <v>40577</v>
      </c>
      <c r="I260" t="s">
        <v>12467</v>
      </c>
      <c r="J260" t="s">
        <v>12468</v>
      </c>
      <c r="K260" t="s">
        <v>4735</v>
      </c>
    </row>
    <row r="261" spans="1:11" x14ac:dyDescent="0.15">
      <c r="A261">
        <v>27092489</v>
      </c>
      <c r="B261" t="s">
        <v>7670</v>
      </c>
      <c r="C261" t="s">
        <v>12469</v>
      </c>
      <c r="D261" t="s">
        <v>12470</v>
      </c>
      <c r="E261" t="s">
        <v>12471</v>
      </c>
      <c r="F261" t="s">
        <v>12472</v>
      </c>
      <c r="G261">
        <v>2016</v>
      </c>
      <c r="H261">
        <v>42480</v>
      </c>
      <c r="I261" t="s">
        <v>12473</v>
      </c>
      <c r="K261" t="s">
        <v>7680</v>
      </c>
    </row>
    <row r="262" spans="1:11" x14ac:dyDescent="0.15">
      <c r="A262">
        <v>15655551</v>
      </c>
      <c r="B262" t="s">
        <v>4384</v>
      </c>
      <c r="C262" t="s">
        <v>12474</v>
      </c>
      <c r="D262" t="s">
        <v>12475</v>
      </c>
      <c r="E262" t="s">
        <v>12476</v>
      </c>
      <c r="F262" t="s">
        <v>11179</v>
      </c>
      <c r="G262">
        <v>2005</v>
      </c>
      <c r="H262">
        <v>38371</v>
      </c>
      <c r="I262" t="s">
        <v>12477</v>
      </c>
      <c r="K262" t="s">
        <v>4396</v>
      </c>
    </row>
    <row r="263" spans="1:11" x14ac:dyDescent="0.15">
      <c r="A263">
        <v>34365576</v>
      </c>
      <c r="B263" t="s">
        <v>12478</v>
      </c>
      <c r="C263" t="s">
        <v>12479</v>
      </c>
      <c r="D263" t="s">
        <v>12480</v>
      </c>
      <c r="E263" t="s">
        <v>12481</v>
      </c>
      <c r="F263" t="s">
        <v>12482</v>
      </c>
      <c r="G263">
        <v>2022</v>
      </c>
      <c r="H263">
        <v>44416</v>
      </c>
      <c r="I263" t="s">
        <v>12483</v>
      </c>
      <c r="K263" t="s">
        <v>12484</v>
      </c>
    </row>
    <row r="264" spans="1:11" x14ac:dyDescent="0.15">
      <c r="A264">
        <v>17187173</v>
      </c>
      <c r="B264" t="s">
        <v>12485</v>
      </c>
      <c r="C264" t="s">
        <v>12486</v>
      </c>
      <c r="D264" t="s">
        <v>12487</v>
      </c>
      <c r="E264" t="s">
        <v>12488</v>
      </c>
      <c r="F264" t="s">
        <v>12489</v>
      </c>
      <c r="G264">
        <v>2007</v>
      </c>
      <c r="H264">
        <v>39077</v>
      </c>
      <c r="K264" t="s">
        <v>12490</v>
      </c>
    </row>
    <row r="265" spans="1:11" x14ac:dyDescent="0.15">
      <c r="A265">
        <v>22025668</v>
      </c>
      <c r="B265" t="s">
        <v>12491</v>
      </c>
      <c r="C265" t="s">
        <v>12492</v>
      </c>
      <c r="D265" t="s">
        <v>12493</v>
      </c>
      <c r="E265" t="s">
        <v>12494</v>
      </c>
      <c r="F265" t="s">
        <v>12495</v>
      </c>
      <c r="G265">
        <v>2011</v>
      </c>
      <c r="H265">
        <v>40842</v>
      </c>
      <c r="I265" t="s">
        <v>12496</v>
      </c>
      <c r="K265" t="s">
        <v>12497</v>
      </c>
    </row>
    <row r="266" spans="1:11" x14ac:dyDescent="0.15">
      <c r="A266">
        <v>31311428</v>
      </c>
      <c r="B266" t="s">
        <v>12498</v>
      </c>
      <c r="C266" t="s">
        <v>12499</v>
      </c>
      <c r="D266" t="s">
        <v>12500</v>
      </c>
      <c r="E266" t="s">
        <v>12501</v>
      </c>
      <c r="F266" t="s">
        <v>12502</v>
      </c>
      <c r="G266">
        <v>2019</v>
      </c>
      <c r="H266">
        <v>43664</v>
      </c>
      <c r="K266" t="s">
        <v>12503</v>
      </c>
    </row>
    <row r="267" spans="1:11" x14ac:dyDescent="0.15">
      <c r="A267">
        <v>21616097</v>
      </c>
      <c r="B267" t="s">
        <v>12504</v>
      </c>
      <c r="C267" t="s">
        <v>12505</v>
      </c>
      <c r="D267" t="s">
        <v>12506</v>
      </c>
      <c r="E267" t="s">
        <v>12507</v>
      </c>
      <c r="F267" t="s">
        <v>12205</v>
      </c>
      <c r="G267">
        <v>2011</v>
      </c>
      <c r="H267">
        <v>40691</v>
      </c>
      <c r="K267" t="s">
        <v>12508</v>
      </c>
    </row>
    <row r="268" spans="1:11" x14ac:dyDescent="0.15">
      <c r="A268">
        <v>23774836</v>
      </c>
      <c r="B268" t="s">
        <v>12509</v>
      </c>
      <c r="C268" t="s">
        <v>12510</v>
      </c>
      <c r="D268" t="s">
        <v>12511</v>
      </c>
      <c r="E268" t="s">
        <v>12512</v>
      </c>
      <c r="F268" t="s">
        <v>12472</v>
      </c>
      <c r="G268">
        <v>2013</v>
      </c>
      <c r="H268">
        <v>41444</v>
      </c>
      <c r="I268" t="s">
        <v>12513</v>
      </c>
      <c r="K268" t="s">
        <v>12514</v>
      </c>
    </row>
    <row r="269" spans="1:11" x14ac:dyDescent="0.15">
      <c r="A269">
        <v>31331349</v>
      </c>
      <c r="B269" t="s">
        <v>12515</v>
      </c>
      <c r="C269" t="s">
        <v>12516</v>
      </c>
      <c r="D269" t="s">
        <v>12517</v>
      </c>
      <c r="E269" t="s">
        <v>12518</v>
      </c>
      <c r="F269" t="s">
        <v>12519</v>
      </c>
      <c r="G269">
        <v>2019</v>
      </c>
      <c r="H269">
        <v>43670</v>
      </c>
      <c r="I269" t="s">
        <v>12520</v>
      </c>
      <c r="K269" t="s">
        <v>12521</v>
      </c>
    </row>
    <row r="270" spans="1:11" x14ac:dyDescent="0.15">
      <c r="A270">
        <v>30301925</v>
      </c>
      <c r="B270" t="s">
        <v>12522</v>
      </c>
      <c r="C270" t="s">
        <v>12523</v>
      </c>
      <c r="D270" t="s">
        <v>12524</v>
      </c>
      <c r="E270" t="s">
        <v>12525</v>
      </c>
      <c r="F270" t="s">
        <v>11466</v>
      </c>
      <c r="G270">
        <v>2018</v>
      </c>
      <c r="H270">
        <v>43384</v>
      </c>
      <c r="I270" t="s">
        <v>12526</v>
      </c>
      <c r="K270" t="s">
        <v>12527</v>
      </c>
    </row>
    <row r="271" spans="1:11" x14ac:dyDescent="0.15">
      <c r="A271">
        <v>30411781</v>
      </c>
      <c r="B271" t="s">
        <v>6267</v>
      </c>
      <c r="C271" t="s">
        <v>12528</v>
      </c>
      <c r="D271" t="s">
        <v>12529</v>
      </c>
      <c r="E271" t="s">
        <v>12530</v>
      </c>
      <c r="F271" t="s">
        <v>11856</v>
      </c>
      <c r="G271">
        <v>2019</v>
      </c>
      <c r="H271">
        <v>43414</v>
      </c>
      <c r="I271" t="s">
        <v>12531</v>
      </c>
      <c r="K271" t="s">
        <v>6278</v>
      </c>
    </row>
    <row r="272" spans="1:11" x14ac:dyDescent="0.15">
      <c r="A272">
        <v>35710947</v>
      </c>
      <c r="B272" t="s">
        <v>9743</v>
      </c>
      <c r="C272" t="s">
        <v>12532</v>
      </c>
      <c r="D272" t="s">
        <v>12533</v>
      </c>
      <c r="E272" t="s">
        <v>12534</v>
      </c>
      <c r="F272" t="s">
        <v>11979</v>
      </c>
      <c r="G272">
        <v>2022</v>
      </c>
      <c r="H272">
        <v>44729</v>
      </c>
      <c r="I272" t="s">
        <v>12535</v>
      </c>
      <c r="K272" t="s">
        <v>9753</v>
      </c>
    </row>
    <row r="273" spans="1:11" x14ac:dyDescent="0.15">
      <c r="A273">
        <v>22100842</v>
      </c>
      <c r="B273" t="s">
        <v>12536</v>
      </c>
      <c r="C273" t="s">
        <v>12537</v>
      </c>
      <c r="D273" t="s">
        <v>12538</v>
      </c>
      <c r="E273" t="s">
        <v>12539</v>
      </c>
      <c r="F273" t="s">
        <v>12540</v>
      </c>
      <c r="G273">
        <v>2011</v>
      </c>
      <c r="H273">
        <v>40869</v>
      </c>
    </row>
    <row r="274" spans="1:11" x14ac:dyDescent="0.15">
      <c r="A274">
        <v>21102562</v>
      </c>
      <c r="B274" t="s">
        <v>12541</v>
      </c>
      <c r="C274" t="s">
        <v>12542</v>
      </c>
      <c r="D274" t="s">
        <v>12543</v>
      </c>
      <c r="E274" t="s">
        <v>12544</v>
      </c>
      <c r="F274" t="s">
        <v>12545</v>
      </c>
      <c r="G274">
        <v>2011</v>
      </c>
      <c r="H274">
        <v>40507</v>
      </c>
      <c r="I274" t="s">
        <v>12546</v>
      </c>
      <c r="K274" t="s">
        <v>12547</v>
      </c>
    </row>
    <row r="275" spans="1:11" x14ac:dyDescent="0.15">
      <c r="A275">
        <v>25945690</v>
      </c>
      <c r="B275" t="s">
        <v>12548</v>
      </c>
      <c r="C275" t="s">
        <v>12549</v>
      </c>
      <c r="D275" t="s">
        <v>12550</v>
      </c>
      <c r="E275" t="s">
        <v>12551</v>
      </c>
      <c r="F275" t="s">
        <v>12552</v>
      </c>
      <c r="G275">
        <v>2015</v>
      </c>
      <c r="H275">
        <v>42131</v>
      </c>
      <c r="I275" t="s">
        <v>12553</v>
      </c>
      <c r="K275" t="s">
        <v>12554</v>
      </c>
    </row>
    <row r="276" spans="1:11" x14ac:dyDescent="0.15">
      <c r="A276">
        <v>30305607</v>
      </c>
      <c r="B276" t="s">
        <v>12555</v>
      </c>
      <c r="C276" t="s">
        <v>12556</v>
      </c>
      <c r="D276" t="s">
        <v>12557</v>
      </c>
      <c r="E276" t="s">
        <v>12558</v>
      </c>
      <c r="F276" t="s">
        <v>11220</v>
      </c>
      <c r="G276">
        <v>2018</v>
      </c>
      <c r="H276">
        <v>43385</v>
      </c>
      <c r="I276" t="s">
        <v>12559</v>
      </c>
      <c r="K276" t="s">
        <v>8753</v>
      </c>
    </row>
    <row r="277" spans="1:11" x14ac:dyDescent="0.15">
      <c r="A277">
        <v>22315426</v>
      </c>
      <c r="B277" t="s">
        <v>12560</v>
      </c>
      <c r="C277" t="s">
        <v>12561</v>
      </c>
      <c r="D277" t="s">
        <v>12562</v>
      </c>
      <c r="E277" t="s">
        <v>12563</v>
      </c>
      <c r="F277" t="s">
        <v>11193</v>
      </c>
      <c r="G277">
        <v>2012</v>
      </c>
      <c r="H277">
        <v>40948</v>
      </c>
      <c r="I277" t="s">
        <v>12564</v>
      </c>
      <c r="K277" t="s">
        <v>12565</v>
      </c>
    </row>
    <row r="278" spans="1:11" x14ac:dyDescent="0.15">
      <c r="A278">
        <v>30412280</v>
      </c>
      <c r="B278" t="s">
        <v>12566</v>
      </c>
      <c r="C278" t="s">
        <v>12567</v>
      </c>
      <c r="D278" t="s">
        <v>12568</v>
      </c>
      <c r="E278" t="s">
        <v>12569</v>
      </c>
      <c r="F278" t="s">
        <v>11856</v>
      </c>
      <c r="G278">
        <v>2019</v>
      </c>
      <c r="H278">
        <v>43414</v>
      </c>
      <c r="K278" t="s">
        <v>12570</v>
      </c>
    </row>
    <row r="279" spans="1:11" x14ac:dyDescent="0.15">
      <c r="A279">
        <v>25955720</v>
      </c>
      <c r="B279" t="s">
        <v>12571</v>
      </c>
      <c r="C279" t="s">
        <v>12572</v>
      </c>
      <c r="D279" t="s">
        <v>12573</v>
      </c>
      <c r="E279" t="s">
        <v>12574</v>
      </c>
      <c r="F279" t="s">
        <v>11650</v>
      </c>
      <c r="G279">
        <v>2015</v>
      </c>
      <c r="H279">
        <v>42133</v>
      </c>
      <c r="I279" t="s">
        <v>12575</v>
      </c>
      <c r="K279" t="s">
        <v>12576</v>
      </c>
    </row>
    <row r="280" spans="1:11" x14ac:dyDescent="0.15">
      <c r="A280">
        <v>28368488</v>
      </c>
      <c r="B280" t="s">
        <v>7209</v>
      </c>
      <c r="C280" t="s">
        <v>12577</v>
      </c>
      <c r="D280" t="s">
        <v>12578</v>
      </c>
      <c r="E280" t="s">
        <v>12579</v>
      </c>
      <c r="F280" t="s">
        <v>11871</v>
      </c>
      <c r="G280">
        <v>2017</v>
      </c>
      <c r="H280">
        <v>42829</v>
      </c>
      <c r="K280" t="s">
        <v>7220</v>
      </c>
    </row>
    <row r="281" spans="1:11" x14ac:dyDescent="0.15">
      <c r="A281">
        <v>28743887</v>
      </c>
      <c r="B281" t="s">
        <v>3236</v>
      </c>
      <c r="C281" t="s">
        <v>12580</v>
      </c>
      <c r="D281" t="s">
        <v>12581</v>
      </c>
      <c r="E281" t="s">
        <v>12582</v>
      </c>
      <c r="F281" t="s">
        <v>11466</v>
      </c>
      <c r="G281">
        <v>2017</v>
      </c>
      <c r="H281">
        <v>42943</v>
      </c>
      <c r="I281" t="s">
        <v>12583</v>
      </c>
      <c r="K281" t="s">
        <v>3246</v>
      </c>
    </row>
    <row r="282" spans="1:11" x14ac:dyDescent="0.15">
      <c r="A282">
        <v>16240989</v>
      </c>
      <c r="B282" t="s">
        <v>12584</v>
      </c>
      <c r="C282" t="s">
        <v>12585</v>
      </c>
      <c r="D282" t="s">
        <v>12586</v>
      </c>
      <c r="E282" t="s">
        <v>12587</v>
      </c>
      <c r="F282" t="s">
        <v>12588</v>
      </c>
      <c r="G282">
        <v>2005</v>
      </c>
      <c r="H282">
        <v>38651</v>
      </c>
    </row>
    <row r="283" spans="1:11" x14ac:dyDescent="0.15">
      <c r="A283">
        <v>24022222</v>
      </c>
      <c r="B283" t="s">
        <v>12589</v>
      </c>
      <c r="C283" t="s">
        <v>12590</v>
      </c>
      <c r="D283" t="s">
        <v>12591</v>
      </c>
      <c r="E283" t="s">
        <v>12592</v>
      </c>
      <c r="F283" t="s">
        <v>12593</v>
      </c>
      <c r="G283">
        <v>2013</v>
      </c>
      <c r="H283">
        <v>41529</v>
      </c>
      <c r="K283" t="s">
        <v>12594</v>
      </c>
    </row>
    <row r="284" spans="1:11" x14ac:dyDescent="0.15">
      <c r="A284">
        <v>24487619</v>
      </c>
      <c r="B284" t="s">
        <v>12595</v>
      </c>
      <c r="C284" t="s">
        <v>12596</v>
      </c>
      <c r="D284" t="s">
        <v>12597</v>
      </c>
      <c r="E284" t="s">
        <v>12598</v>
      </c>
      <c r="F284" t="s">
        <v>11295</v>
      </c>
      <c r="G284">
        <v>2014</v>
      </c>
      <c r="H284">
        <v>41674</v>
      </c>
      <c r="I284" t="s">
        <v>12599</v>
      </c>
      <c r="J284" t="s">
        <v>12600</v>
      </c>
      <c r="K284" t="s">
        <v>12601</v>
      </c>
    </row>
    <row r="285" spans="1:11" x14ac:dyDescent="0.15">
      <c r="A285">
        <v>21376534</v>
      </c>
      <c r="B285" t="s">
        <v>12602</v>
      </c>
      <c r="C285" t="s">
        <v>12603</v>
      </c>
      <c r="D285" t="s">
        <v>12604</v>
      </c>
      <c r="E285" t="s">
        <v>12605</v>
      </c>
      <c r="F285" t="s">
        <v>12305</v>
      </c>
      <c r="G285">
        <v>2011</v>
      </c>
      <c r="H285">
        <v>40610</v>
      </c>
      <c r="K285" t="s">
        <v>12606</v>
      </c>
    </row>
    <row r="286" spans="1:11" x14ac:dyDescent="0.15">
      <c r="A286">
        <v>32004570</v>
      </c>
      <c r="B286" t="s">
        <v>12607</v>
      </c>
      <c r="C286" t="s">
        <v>12608</v>
      </c>
      <c r="D286" t="s">
        <v>12609</v>
      </c>
      <c r="E286" t="s">
        <v>12610</v>
      </c>
      <c r="F286" t="s">
        <v>11361</v>
      </c>
      <c r="G286">
        <v>2020</v>
      </c>
      <c r="H286">
        <v>43862</v>
      </c>
      <c r="K286" t="s">
        <v>12611</v>
      </c>
    </row>
    <row r="287" spans="1:11" x14ac:dyDescent="0.15">
      <c r="A287">
        <v>34698812</v>
      </c>
      <c r="B287" t="s">
        <v>7480</v>
      </c>
      <c r="C287" t="s">
        <v>12612</v>
      </c>
      <c r="D287" t="s">
        <v>12613</v>
      </c>
      <c r="E287" t="s">
        <v>12614</v>
      </c>
      <c r="F287" t="s">
        <v>12615</v>
      </c>
      <c r="G287">
        <v>2022</v>
      </c>
      <c r="H287">
        <v>44495</v>
      </c>
      <c r="K287" t="s">
        <v>7492</v>
      </c>
    </row>
    <row r="288" spans="1:11" x14ac:dyDescent="0.15">
      <c r="A288">
        <v>25650727</v>
      </c>
      <c r="B288" t="s">
        <v>7468</v>
      </c>
      <c r="C288" t="s">
        <v>12616</v>
      </c>
      <c r="D288" t="s">
        <v>12617</v>
      </c>
      <c r="E288" t="s">
        <v>12618</v>
      </c>
      <c r="F288" t="s">
        <v>11975</v>
      </c>
      <c r="G288">
        <v>2015</v>
      </c>
      <c r="H288">
        <v>42040</v>
      </c>
      <c r="I288" t="s">
        <v>12619</v>
      </c>
      <c r="K288" t="s">
        <v>7296</v>
      </c>
    </row>
    <row r="289" spans="1:11" x14ac:dyDescent="0.15">
      <c r="A289">
        <v>18974299</v>
      </c>
      <c r="B289" t="s">
        <v>12620</v>
      </c>
      <c r="C289" t="s">
        <v>12621</v>
      </c>
      <c r="D289" t="s">
        <v>12622</v>
      </c>
      <c r="E289" t="s">
        <v>11879</v>
      </c>
      <c r="F289" t="s">
        <v>12623</v>
      </c>
      <c r="G289">
        <v>2008</v>
      </c>
      <c r="H289">
        <v>39753</v>
      </c>
      <c r="I289" t="s">
        <v>12624</v>
      </c>
      <c r="K289" t="s">
        <v>12625</v>
      </c>
    </row>
    <row r="290" spans="1:11" x14ac:dyDescent="0.15">
      <c r="A290">
        <v>24164173</v>
      </c>
      <c r="B290" t="s">
        <v>8729</v>
      </c>
      <c r="C290" t="s">
        <v>12626</v>
      </c>
      <c r="D290" t="s">
        <v>12627</v>
      </c>
      <c r="E290" t="s">
        <v>11834</v>
      </c>
      <c r="F290" t="s">
        <v>12628</v>
      </c>
      <c r="G290">
        <v>2014</v>
      </c>
      <c r="H290">
        <v>41577</v>
      </c>
      <c r="K290" t="s">
        <v>8740</v>
      </c>
    </row>
    <row r="291" spans="1:11" x14ac:dyDescent="0.15">
      <c r="A291">
        <v>24816817</v>
      </c>
      <c r="B291" t="s">
        <v>12629</v>
      </c>
      <c r="C291" t="s">
        <v>12630</v>
      </c>
      <c r="D291" t="s">
        <v>12631</v>
      </c>
      <c r="E291" t="s">
        <v>12456</v>
      </c>
      <c r="F291" t="s">
        <v>11650</v>
      </c>
      <c r="G291">
        <v>2014</v>
      </c>
      <c r="H291">
        <v>41772</v>
      </c>
      <c r="I291" t="s">
        <v>12632</v>
      </c>
      <c r="K291" t="s">
        <v>12633</v>
      </c>
    </row>
    <row r="292" spans="1:11" x14ac:dyDescent="0.15">
      <c r="A292">
        <v>28878382</v>
      </c>
      <c r="B292" t="s">
        <v>12634</v>
      </c>
      <c r="C292" t="s">
        <v>12635</v>
      </c>
      <c r="D292" t="s">
        <v>12636</v>
      </c>
      <c r="E292" t="s">
        <v>12637</v>
      </c>
      <c r="F292" t="s">
        <v>11466</v>
      </c>
      <c r="G292">
        <v>2017</v>
      </c>
      <c r="H292">
        <v>42986</v>
      </c>
      <c r="I292" t="s">
        <v>12638</v>
      </c>
      <c r="K292" t="s">
        <v>12639</v>
      </c>
    </row>
    <row r="293" spans="1:11" x14ac:dyDescent="0.15">
      <c r="A293">
        <v>23303825</v>
      </c>
      <c r="B293" t="s">
        <v>12640</v>
      </c>
      <c r="C293" t="s">
        <v>12641</v>
      </c>
      <c r="D293" t="s">
        <v>12642</v>
      </c>
      <c r="E293" t="s">
        <v>12643</v>
      </c>
      <c r="F293" t="s">
        <v>12644</v>
      </c>
      <c r="G293">
        <v>2013</v>
      </c>
      <c r="H293">
        <v>41285</v>
      </c>
      <c r="I293" t="s">
        <v>12645</v>
      </c>
      <c r="K293" t="s">
        <v>12646</v>
      </c>
    </row>
    <row r="294" spans="1:11" x14ac:dyDescent="0.15">
      <c r="A294">
        <v>23873874</v>
      </c>
      <c r="B294" t="s">
        <v>12647</v>
      </c>
      <c r="C294" t="s">
        <v>12648</v>
      </c>
      <c r="D294" t="s">
        <v>12649</v>
      </c>
      <c r="E294" t="s">
        <v>12650</v>
      </c>
      <c r="F294" t="s">
        <v>12651</v>
      </c>
      <c r="G294">
        <v>2014</v>
      </c>
      <c r="H294">
        <v>41478</v>
      </c>
      <c r="K294" t="s">
        <v>12652</v>
      </c>
    </row>
    <row r="295" spans="1:11" x14ac:dyDescent="0.15">
      <c r="A295">
        <v>31262819</v>
      </c>
      <c r="B295" t="s">
        <v>12653</v>
      </c>
      <c r="C295" t="s">
        <v>12654</v>
      </c>
      <c r="D295" t="s">
        <v>12655</v>
      </c>
      <c r="E295" t="s">
        <v>12656</v>
      </c>
      <c r="F295" t="s">
        <v>11193</v>
      </c>
      <c r="G295">
        <v>2019</v>
      </c>
      <c r="H295">
        <v>43649</v>
      </c>
      <c r="I295" t="s">
        <v>12657</v>
      </c>
      <c r="K295" t="s">
        <v>12658</v>
      </c>
    </row>
    <row r="296" spans="1:11" x14ac:dyDescent="0.15">
      <c r="A296">
        <v>30521613</v>
      </c>
      <c r="B296" t="s">
        <v>12659</v>
      </c>
      <c r="C296" t="s">
        <v>12660</v>
      </c>
      <c r="D296" t="s">
        <v>12661</v>
      </c>
      <c r="E296" t="s">
        <v>12662</v>
      </c>
      <c r="F296" t="s">
        <v>11650</v>
      </c>
      <c r="G296">
        <v>2018</v>
      </c>
      <c r="H296">
        <v>43441</v>
      </c>
      <c r="I296" t="s">
        <v>12663</v>
      </c>
      <c r="K296" t="s">
        <v>12664</v>
      </c>
    </row>
    <row r="297" spans="1:11" x14ac:dyDescent="0.15">
      <c r="A297">
        <v>24245560</v>
      </c>
      <c r="B297" t="s">
        <v>12665</v>
      </c>
      <c r="C297" t="s">
        <v>12666</v>
      </c>
      <c r="D297" t="s">
        <v>12667</v>
      </c>
      <c r="E297" t="s">
        <v>12668</v>
      </c>
      <c r="F297" t="s">
        <v>12669</v>
      </c>
      <c r="G297">
        <v>2013</v>
      </c>
      <c r="H297">
        <v>41598</v>
      </c>
      <c r="I297" t="s">
        <v>12670</v>
      </c>
      <c r="K297" t="s">
        <v>12671</v>
      </c>
    </row>
    <row r="298" spans="1:11" x14ac:dyDescent="0.15">
      <c r="A298">
        <v>30102952</v>
      </c>
      <c r="B298" t="s">
        <v>5107</v>
      </c>
      <c r="C298" t="s">
        <v>12672</v>
      </c>
      <c r="D298" t="s">
        <v>12673</v>
      </c>
      <c r="E298" t="s">
        <v>12674</v>
      </c>
      <c r="F298" t="s">
        <v>11361</v>
      </c>
      <c r="G298">
        <v>2018</v>
      </c>
      <c r="H298">
        <v>43326</v>
      </c>
      <c r="K298" t="s">
        <v>5120</v>
      </c>
    </row>
    <row r="299" spans="1:11" x14ac:dyDescent="0.15">
      <c r="A299">
        <v>26098692</v>
      </c>
      <c r="B299" t="s">
        <v>12675</v>
      </c>
      <c r="C299" t="s">
        <v>12676</v>
      </c>
      <c r="D299" t="s">
        <v>12677</v>
      </c>
      <c r="E299" t="s">
        <v>12678</v>
      </c>
      <c r="F299" t="s">
        <v>11650</v>
      </c>
      <c r="G299">
        <v>2015</v>
      </c>
      <c r="H299">
        <v>42178</v>
      </c>
      <c r="I299" t="s">
        <v>12679</v>
      </c>
      <c r="K299" t="s">
        <v>12680</v>
      </c>
    </row>
    <row r="300" spans="1:11" x14ac:dyDescent="0.15">
      <c r="A300">
        <v>32343702</v>
      </c>
      <c r="B300" t="s">
        <v>12681</v>
      </c>
      <c r="C300" t="s">
        <v>12682</v>
      </c>
      <c r="D300" t="s">
        <v>12683</v>
      </c>
      <c r="E300" t="s">
        <v>12684</v>
      </c>
      <c r="F300" t="s">
        <v>12685</v>
      </c>
      <c r="G300">
        <v>2020</v>
      </c>
      <c r="H300">
        <v>43950</v>
      </c>
      <c r="I300" t="s">
        <v>12686</v>
      </c>
      <c r="K300" t="s">
        <v>12687</v>
      </c>
    </row>
    <row r="301" spans="1:11" x14ac:dyDescent="0.15">
      <c r="A301">
        <v>35094679</v>
      </c>
      <c r="B301" t="s">
        <v>6154</v>
      </c>
      <c r="C301" t="s">
        <v>12688</v>
      </c>
      <c r="D301" t="s">
        <v>12689</v>
      </c>
      <c r="E301" t="s">
        <v>12690</v>
      </c>
      <c r="F301" t="s">
        <v>12691</v>
      </c>
      <c r="G301">
        <v>2022</v>
      </c>
      <c r="H301">
        <v>44592</v>
      </c>
      <c r="I301" t="s">
        <v>12692</v>
      </c>
      <c r="K301" t="s">
        <v>6165</v>
      </c>
    </row>
    <row r="302" spans="1:11" x14ac:dyDescent="0.15">
      <c r="A302">
        <v>35159325</v>
      </c>
      <c r="B302" t="s">
        <v>8157</v>
      </c>
      <c r="C302" t="s">
        <v>12693</v>
      </c>
      <c r="D302" t="s">
        <v>12694</v>
      </c>
      <c r="E302" t="s">
        <v>12695</v>
      </c>
      <c r="F302" t="s">
        <v>11553</v>
      </c>
      <c r="G302">
        <v>2022</v>
      </c>
      <c r="H302">
        <v>44607</v>
      </c>
      <c r="I302" t="s">
        <v>12696</v>
      </c>
      <c r="K302" t="s">
        <v>8167</v>
      </c>
    </row>
    <row r="303" spans="1:11" x14ac:dyDescent="0.15">
      <c r="A303">
        <v>26554030</v>
      </c>
      <c r="B303" t="s">
        <v>12697</v>
      </c>
      <c r="C303" t="s">
        <v>12698</v>
      </c>
      <c r="D303" t="s">
        <v>12699</v>
      </c>
      <c r="E303" t="s">
        <v>12700</v>
      </c>
      <c r="F303" t="s">
        <v>2642</v>
      </c>
      <c r="G303">
        <v>2016</v>
      </c>
      <c r="H303">
        <v>42319</v>
      </c>
      <c r="I303" t="s">
        <v>12701</v>
      </c>
      <c r="K303" t="s">
        <v>12702</v>
      </c>
    </row>
    <row r="304" spans="1:11" x14ac:dyDescent="0.15">
      <c r="A304">
        <v>27071670</v>
      </c>
      <c r="B304" t="s">
        <v>7698</v>
      </c>
      <c r="C304" t="s">
        <v>12703</v>
      </c>
      <c r="D304" t="s">
        <v>12704</v>
      </c>
      <c r="E304" t="s">
        <v>12705</v>
      </c>
      <c r="F304" t="s">
        <v>12110</v>
      </c>
      <c r="G304">
        <v>2016</v>
      </c>
      <c r="H304">
        <v>42474</v>
      </c>
      <c r="I304" t="s">
        <v>12706</v>
      </c>
      <c r="K304" t="s">
        <v>7712</v>
      </c>
    </row>
    <row r="305" spans="1:11" x14ac:dyDescent="0.15">
      <c r="A305">
        <v>35301052</v>
      </c>
      <c r="B305" t="s">
        <v>1412</v>
      </c>
      <c r="C305" t="s">
        <v>12707</v>
      </c>
      <c r="D305" t="s">
        <v>12708</v>
      </c>
      <c r="E305" t="s">
        <v>12709</v>
      </c>
      <c r="F305" t="s">
        <v>12710</v>
      </c>
      <c r="G305">
        <v>2022</v>
      </c>
      <c r="H305">
        <v>44638</v>
      </c>
      <c r="K305" t="s">
        <v>1423</v>
      </c>
    </row>
    <row r="306" spans="1:11" x14ac:dyDescent="0.15">
      <c r="A306">
        <v>19940036</v>
      </c>
      <c r="B306" t="s">
        <v>12711</v>
      </c>
      <c r="C306" t="s">
        <v>12712</v>
      </c>
      <c r="D306" t="s">
        <v>12713</v>
      </c>
      <c r="E306" t="s">
        <v>12714</v>
      </c>
      <c r="F306" t="s">
        <v>12715</v>
      </c>
      <c r="G306">
        <v>2010</v>
      </c>
      <c r="H306">
        <v>40144</v>
      </c>
      <c r="I306" t="s">
        <v>12716</v>
      </c>
      <c r="K306" t="s">
        <v>12717</v>
      </c>
    </row>
    <row r="307" spans="1:11" x14ac:dyDescent="0.15">
      <c r="A307">
        <v>30206166</v>
      </c>
      <c r="B307" t="s">
        <v>12718</v>
      </c>
      <c r="C307" t="s">
        <v>12719</v>
      </c>
      <c r="D307" t="s">
        <v>12720</v>
      </c>
      <c r="E307" t="s">
        <v>12721</v>
      </c>
      <c r="F307" t="s">
        <v>12722</v>
      </c>
      <c r="G307">
        <v>2018</v>
      </c>
      <c r="H307">
        <v>43356</v>
      </c>
      <c r="I307" t="s">
        <v>12723</v>
      </c>
      <c r="K307" t="s">
        <v>3515</v>
      </c>
    </row>
    <row r="308" spans="1:11" x14ac:dyDescent="0.15">
      <c r="A308">
        <v>25339697</v>
      </c>
      <c r="B308" t="s">
        <v>12724</v>
      </c>
      <c r="C308" t="s">
        <v>12725</v>
      </c>
      <c r="D308" t="s">
        <v>12726</v>
      </c>
      <c r="E308" t="s">
        <v>12727</v>
      </c>
      <c r="F308" t="s">
        <v>12715</v>
      </c>
      <c r="G308">
        <v>2014</v>
      </c>
      <c r="H308">
        <v>41936</v>
      </c>
      <c r="K308" t="s">
        <v>12728</v>
      </c>
    </row>
    <row r="309" spans="1:11" x14ac:dyDescent="0.15">
      <c r="A309">
        <v>25678142</v>
      </c>
      <c r="B309" t="s">
        <v>4898</v>
      </c>
      <c r="C309" t="s">
        <v>12729</v>
      </c>
      <c r="D309" t="s">
        <v>12730</v>
      </c>
      <c r="E309" t="s">
        <v>12731</v>
      </c>
      <c r="F309" t="s">
        <v>12732</v>
      </c>
      <c r="G309">
        <v>2015</v>
      </c>
      <c r="H309">
        <v>42049</v>
      </c>
      <c r="K309" t="s">
        <v>4910</v>
      </c>
    </row>
    <row r="310" spans="1:11" x14ac:dyDescent="0.15">
      <c r="A310">
        <v>32600030</v>
      </c>
      <c r="B310" t="s">
        <v>7105</v>
      </c>
      <c r="C310" t="s">
        <v>12733</v>
      </c>
      <c r="D310" t="s">
        <v>12734</v>
      </c>
      <c r="E310" t="s">
        <v>12735</v>
      </c>
      <c r="F310" t="s">
        <v>11453</v>
      </c>
      <c r="G310">
        <v>2020</v>
      </c>
      <c r="H310">
        <v>44013</v>
      </c>
      <c r="K310" t="s">
        <v>7114</v>
      </c>
    </row>
    <row r="311" spans="1:11" x14ac:dyDescent="0.15">
      <c r="A311">
        <v>33304477</v>
      </c>
      <c r="B311" t="s">
        <v>2128</v>
      </c>
      <c r="C311" t="s">
        <v>12736</v>
      </c>
      <c r="D311" t="s">
        <v>12737</v>
      </c>
      <c r="E311" t="s">
        <v>12738</v>
      </c>
      <c r="F311" t="s">
        <v>11525</v>
      </c>
      <c r="G311">
        <v>2020</v>
      </c>
      <c r="H311">
        <v>44176</v>
      </c>
      <c r="I311" t="s">
        <v>12739</v>
      </c>
      <c r="K311" t="s">
        <v>2137</v>
      </c>
    </row>
    <row r="312" spans="1:11" x14ac:dyDescent="0.15">
      <c r="A312">
        <v>23483985</v>
      </c>
      <c r="B312" t="s">
        <v>12740</v>
      </c>
      <c r="C312" t="s">
        <v>12741</v>
      </c>
      <c r="D312" t="s">
        <v>12742</v>
      </c>
      <c r="E312" t="s">
        <v>12743</v>
      </c>
      <c r="F312" t="s">
        <v>11650</v>
      </c>
      <c r="G312">
        <v>2013</v>
      </c>
      <c r="H312">
        <v>41347</v>
      </c>
      <c r="I312" t="s">
        <v>12744</v>
      </c>
      <c r="K312" t="s">
        <v>12745</v>
      </c>
    </row>
    <row r="313" spans="1:11" x14ac:dyDescent="0.15">
      <c r="A313">
        <v>29162835</v>
      </c>
      <c r="B313" t="s">
        <v>4174</v>
      </c>
      <c r="C313" t="s">
        <v>12746</v>
      </c>
      <c r="D313" t="s">
        <v>12747</v>
      </c>
      <c r="E313" t="s">
        <v>12748</v>
      </c>
      <c r="F313" t="s">
        <v>11251</v>
      </c>
      <c r="G313">
        <v>2017</v>
      </c>
      <c r="H313">
        <v>43062</v>
      </c>
      <c r="I313" t="s">
        <v>12749</v>
      </c>
      <c r="K313" t="s">
        <v>4183</v>
      </c>
    </row>
    <row r="314" spans="1:11" x14ac:dyDescent="0.15">
      <c r="A314">
        <v>24259003</v>
      </c>
      <c r="B314" t="s">
        <v>12750</v>
      </c>
      <c r="C314" t="s">
        <v>12751</v>
      </c>
      <c r="D314" t="s">
        <v>12752</v>
      </c>
      <c r="E314" t="s">
        <v>12753</v>
      </c>
      <c r="F314" t="s">
        <v>11317</v>
      </c>
      <c r="G314">
        <v>2014</v>
      </c>
      <c r="H314">
        <v>41600</v>
      </c>
      <c r="K314" t="s">
        <v>12754</v>
      </c>
    </row>
    <row r="315" spans="1:11" x14ac:dyDescent="0.15">
      <c r="A315">
        <v>17448744</v>
      </c>
      <c r="B315" t="s">
        <v>12755</v>
      </c>
      <c r="C315" t="s">
        <v>12756</v>
      </c>
      <c r="D315" t="s">
        <v>12757</v>
      </c>
      <c r="E315" t="s">
        <v>12758</v>
      </c>
      <c r="F315" t="s">
        <v>12759</v>
      </c>
      <c r="G315">
        <v>2007</v>
      </c>
      <c r="H315">
        <v>39196</v>
      </c>
      <c r="K315" t="s">
        <v>12760</v>
      </c>
    </row>
    <row r="316" spans="1:11" x14ac:dyDescent="0.15">
      <c r="A316">
        <v>30971101</v>
      </c>
      <c r="B316" t="s">
        <v>12761</v>
      </c>
      <c r="C316" t="s">
        <v>12762</v>
      </c>
      <c r="D316" t="s">
        <v>12763</v>
      </c>
      <c r="E316" t="s">
        <v>12764</v>
      </c>
      <c r="F316" t="s">
        <v>12765</v>
      </c>
      <c r="G316">
        <v>2019</v>
      </c>
      <c r="H316">
        <v>43567</v>
      </c>
      <c r="K316" t="s">
        <v>12766</v>
      </c>
    </row>
    <row r="317" spans="1:11" x14ac:dyDescent="0.15">
      <c r="A317">
        <v>22074924</v>
      </c>
      <c r="B317" t="s">
        <v>12767</v>
      </c>
      <c r="C317" t="s">
        <v>12768</v>
      </c>
      <c r="D317" t="s">
        <v>12769</v>
      </c>
      <c r="E317" t="s">
        <v>12770</v>
      </c>
      <c r="F317" t="s">
        <v>11800</v>
      </c>
      <c r="G317">
        <v>2012</v>
      </c>
      <c r="H317">
        <v>40862</v>
      </c>
      <c r="I317" t="s">
        <v>12771</v>
      </c>
      <c r="K317" t="s">
        <v>12772</v>
      </c>
    </row>
    <row r="318" spans="1:11" x14ac:dyDescent="0.15">
      <c r="A318">
        <v>26150337</v>
      </c>
      <c r="B318" t="s">
        <v>2169</v>
      </c>
      <c r="C318" t="s">
        <v>12773</v>
      </c>
      <c r="D318" t="s">
        <v>12774</v>
      </c>
      <c r="E318" t="s">
        <v>12775</v>
      </c>
      <c r="F318" t="s">
        <v>12776</v>
      </c>
      <c r="G318">
        <v>2015</v>
      </c>
      <c r="H318">
        <v>42193</v>
      </c>
      <c r="K318" t="s">
        <v>2182</v>
      </c>
    </row>
    <row r="319" spans="1:11" x14ac:dyDescent="0.15">
      <c r="A319">
        <v>35658009</v>
      </c>
      <c r="B319" t="s">
        <v>12777</v>
      </c>
      <c r="C319" t="s">
        <v>12778</v>
      </c>
      <c r="D319" t="s">
        <v>12779</v>
      </c>
      <c r="E319" t="s">
        <v>12780</v>
      </c>
      <c r="F319" t="s">
        <v>12781</v>
      </c>
      <c r="G319">
        <v>2022</v>
      </c>
      <c r="H319">
        <v>44715</v>
      </c>
      <c r="I319" t="s">
        <v>12782</v>
      </c>
      <c r="J319" t="s">
        <v>12783</v>
      </c>
      <c r="K319" t="s">
        <v>12784</v>
      </c>
    </row>
    <row r="320" spans="1:11" x14ac:dyDescent="0.15">
      <c r="A320">
        <v>25713383</v>
      </c>
      <c r="B320" t="s">
        <v>598</v>
      </c>
      <c r="C320" t="s">
        <v>12785</v>
      </c>
      <c r="D320" t="s">
        <v>12786</v>
      </c>
      <c r="E320" t="s">
        <v>12787</v>
      </c>
      <c r="F320" t="s">
        <v>11193</v>
      </c>
      <c r="G320">
        <v>2015</v>
      </c>
      <c r="H320">
        <v>42061</v>
      </c>
      <c r="I320" t="s">
        <v>12788</v>
      </c>
      <c r="K320" t="s">
        <v>613</v>
      </c>
    </row>
    <row r="321" spans="1:11" x14ac:dyDescent="0.15">
      <c r="A321">
        <v>29357442</v>
      </c>
      <c r="B321" t="s">
        <v>12789</v>
      </c>
      <c r="C321" t="s">
        <v>12790</v>
      </c>
      <c r="D321" t="s">
        <v>12791</v>
      </c>
      <c r="E321" t="s">
        <v>12792</v>
      </c>
      <c r="F321" t="s">
        <v>12715</v>
      </c>
      <c r="G321">
        <v>2018</v>
      </c>
      <c r="H321">
        <v>43124</v>
      </c>
      <c r="K321" t="s">
        <v>12793</v>
      </c>
    </row>
    <row r="322" spans="1:11" x14ac:dyDescent="0.15">
      <c r="A322">
        <v>26172304</v>
      </c>
      <c r="B322" t="s">
        <v>4306</v>
      </c>
      <c r="C322" t="s">
        <v>12794</v>
      </c>
      <c r="D322" t="s">
        <v>12795</v>
      </c>
      <c r="E322" t="s">
        <v>12796</v>
      </c>
      <c r="F322" t="s">
        <v>11519</v>
      </c>
      <c r="G322">
        <v>2015</v>
      </c>
      <c r="H322">
        <v>42200</v>
      </c>
      <c r="I322" t="s">
        <v>12797</v>
      </c>
      <c r="K322" t="s">
        <v>4317</v>
      </c>
    </row>
    <row r="323" spans="1:11" x14ac:dyDescent="0.15">
      <c r="A323">
        <v>31043377</v>
      </c>
      <c r="B323" t="s">
        <v>12798</v>
      </c>
      <c r="C323" t="s">
        <v>12799</v>
      </c>
      <c r="D323" t="s">
        <v>12800</v>
      </c>
      <c r="E323" t="s">
        <v>12463</v>
      </c>
      <c r="F323" t="s">
        <v>12095</v>
      </c>
      <c r="G323">
        <v>2019</v>
      </c>
      <c r="H323">
        <v>43588</v>
      </c>
      <c r="K323" t="s">
        <v>12801</v>
      </c>
    </row>
    <row r="324" spans="1:11" x14ac:dyDescent="0.15">
      <c r="A324">
        <v>14963039</v>
      </c>
      <c r="B324" t="s">
        <v>6713</v>
      </c>
      <c r="C324" t="s">
        <v>12802</v>
      </c>
      <c r="D324" t="s">
        <v>12803</v>
      </c>
      <c r="E324" t="s">
        <v>12804</v>
      </c>
      <c r="F324" t="s">
        <v>11800</v>
      </c>
      <c r="G324">
        <v>2004</v>
      </c>
      <c r="H324">
        <v>38031</v>
      </c>
      <c r="K324" t="s">
        <v>6722</v>
      </c>
    </row>
    <row r="325" spans="1:11" x14ac:dyDescent="0.15">
      <c r="A325">
        <v>28592251</v>
      </c>
      <c r="B325" t="s">
        <v>12805</v>
      </c>
      <c r="C325" t="s">
        <v>12806</v>
      </c>
      <c r="D325" t="s">
        <v>12807</v>
      </c>
      <c r="E325" t="s">
        <v>12808</v>
      </c>
      <c r="F325" t="s">
        <v>12519</v>
      </c>
      <c r="G325">
        <v>2017</v>
      </c>
      <c r="H325">
        <v>42895</v>
      </c>
      <c r="I325" t="s">
        <v>12809</v>
      </c>
      <c r="K325" t="s">
        <v>12810</v>
      </c>
    </row>
    <row r="326" spans="1:11" x14ac:dyDescent="0.15">
      <c r="A326">
        <v>29434260</v>
      </c>
      <c r="B326" t="s">
        <v>9873</v>
      </c>
      <c r="C326" t="s">
        <v>12811</v>
      </c>
      <c r="D326" t="s">
        <v>12812</v>
      </c>
      <c r="E326" t="s">
        <v>12813</v>
      </c>
      <c r="F326" t="s">
        <v>11466</v>
      </c>
      <c r="G326">
        <v>2018</v>
      </c>
      <c r="H326">
        <v>43145</v>
      </c>
      <c r="I326" t="s">
        <v>12814</v>
      </c>
      <c r="K326" t="s">
        <v>9880</v>
      </c>
    </row>
    <row r="327" spans="1:11" x14ac:dyDescent="0.15">
      <c r="A327">
        <v>31285775</v>
      </c>
      <c r="B327" t="s">
        <v>12815</v>
      </c>
      <c r="C327" t="s">
        <v>12816</v>
      </c>
      <c r="D327" t="s">
        <v>12817</v>
      </c>
      <c r="E327" t="s">
        <v>12453</v>
      </c>
      <c r="F327" t="s">
        <v>11172</v>
      </c>
      <c r="G327">
        <v>2019</v>
      </c>
      <c r="H327">
        <v>43656</v>
      </c>
      <c r="I327" t="s">
        <v>12818</v>
      </c>
      <c r="K327" t="s">
        <v>12819</v>
      </c>
    </row>
    <row r="328" spans="1:11" x14ac:dyDescent="0.15">
      <c r="A328">
        <v>34906563</v>
      </c>
      <c r="B328" t="s">
        <v>3033</v>
      </c>
      <c r="C328" t="s">
        <v>12820</v>
      </c>
      <c r="D328" t="s">
        <v>12821</v>
      </c>
      <c r="E328" t="s">
        <v>12822</v>
      </c>
      <c r="F328" t="s">
        <v>11732</v>
      </c>
      <c r="G328">
        <v>2022</v>
      </c>
      <c r="H328">
        <v>44545</v>
      </c>
      <c r="K328" t="s">
        <v>3044</v>
      </c>
    </row>
    <row r="329" spans="1:11" x14ac:dyDescent="0.15">
      <c r="A329">
        <v>25040043</v>
      </c>
      <c r="B329" t="s">
        <v>9771</v>
      </c>
      <c r="C329" t="s">
        <v>12823</v>
      </c>
      <c r="D329" t="s">
        <v>12824</v>
      </c>
      <c r="E329" t="s">
        <v>12825</v>
      </c>
      <c r="F329" t="s">
        <v>12826</v>
      </c>
      <c r="G329">
        <v>2015</v>
      </c>
      <c r="H329">
        <v>41842</v>
      </c>
      <c r="I329" t="s">
        <v>12827</v>
      </c>
      <c r="J329" t="s">
        <v>12828</v>
      </c>
      <c r="K329" t="s">
        <v>9782</v>
      </c>
    </row>
    <row r="330" spans="1:11" x14ac:dyDescent="0.15">
      <c r="A330">
        <v>21555566</v>
      </c>
      <c r="B330" t="s">
        <v>7510</v>
      </c>
      <c r="C330" t="s">
        <v>12829</v>
      </c>
      <c r="D330" t="s">
        <v>12830</v>
      </c>
      <c r="E330" t="s">
        <v>12831</v>
      </c>
      <c r="F330" t="s">
        <v>11193</v>
      </c>
      <c r="G330">
        <v>2011</v>
      </c>
      <c r="H330">
        <v>40674</v>
      </c>
      <c r="I330" t="s">
        <v>12832</v>
      </c>
      <c r="K330" t="s">
        <v>7520</v>
      </c>
    </row>
    <row r="331" spans="1:11" x14ac:dyDescent="0.15">
      <c r="A331">
        <v>7077301</v>
      </c>
      <c r="B331" t="s">
        <v>12833</v>
      </c>
      <c r="C331" t="s">
        <v>12834</v>
      </c>
      <c r="D331" t="s">
        <v>12835</v>
      </c>
      <c r="E331" t="s">
        <v>12836</v>
      </c>
      <c r="F331" t="s">
        <v>12837</v>
      </c>
      <c r="G331">
        <v>1982</v>
      </c>
      <c r="H331">
        <v>30042</v>
      </c>
      <c r="K331" t="s">
        <v>12838</v>
      </c>
    </row>
    <row r="332" spans="1:11" x14ac:dyDescent="0.15">
      <c r="A332">
        <v>21248205</v>
      </c>
      <c r="B332" t="s">
        <v>12839</v>
      </c>
      <c r="C332" t="s">
        <v>12840</v>
      </c>
      <c r="D332" t="s">
        <v>12841</v>
      </c>
      <c r="E332" t="s">
        <v>12842</v>
      </c>
      <c r="F332" t="s">
        <v>12843</v>
      </c>
      <c r="G332">
        <v>2011</v>
      </c>
      <c r="H332">
        <v>40564</v>
      </c>
      <c r="I332" t="s">
        <v>12844</v>
      </c>
      <c r="K332" t="s">
        <v>12845</v>
      </c>
    </row>
    <row r="333" spans="1:11" x14ac:dyDescent="0.15">
      <c r="A333">
        <v>22504169</v>
      </c>
      <c r="B333" t="s">
        <v>12846</v>
      </c>
      <c r="C333" t="s">
        <v>12847</v>
      </c>
      <c r="D333" t="s">
        <v>12848</v>
      </c>
      <c r="E333" t="s">
        <v>12849</v>
      </c>
      <c r="F333" t="s">
        <v>12276</v>
      </c>
      <c r="G333">
        <v>2012</v>
      </c>
      <c r="H333">
        <v>41016</v>
      </c>
      <c r="K333" t="s">
        <v>12850</v>
      </c>
    </row>
    <row r="334" spans="1:11" x14ac:dyDescent="0.15">
      <c r="A334">
        <v>18802920</v>
      </c>
      <c r="B334" t="s">
        <v>12851</v>
      </c>
      <c r="C334" t="s">
        <v>12852</v>
      </c>
      <c r="D334" t="s">
        <v>12853</v>
      </c>
      <c r="E334" t="s">
        <v>12854</v>
      </c>
      <c r="F334" t="s">
        <v>11435</v>
      </c>
      <c r="G334">
        <v>2008</v>
      </c>
      <c r="H334">
        <v>39711</v>
      </c>
      <c r="K334" t="s">
        <v>12855</v>
      </c>
    </row>
    <row r="335" spans="1:11" x14ac:dyDescent="0.15">
      <c r="A335">
        <v>9368286</v>
      </c>
      <c r="B335" t="s">
        <v>7223</v>
      </c>
      <c r="C335" t="s">
        <v>12856</v>
      </c>
      <c r="D335" t="s">
        <v>12857</v>
      </c>
      <c r="E335" t="s">
        <v>12858</v>
      </c>
      <c r="F335" t="s">
        <v>11367</v>
      </c>
      <c r="G335">
        <v>1997</v>
      </c>
      <c r="H335">
        <v>35431</v>
      </c>
      <c r="K335" t="s">
        <v>12859</v>
      </c>
    </row>
    <row r="336" spans="1:11" x14ac:dyDescent="0.15">
      <c r="A336">
        <v>21893226</v>
      </c>
      <c r="B336" t="s">
        <v>10031</v>
      </c>
      <c r="C336" t="s">
        <v>12860</v>
      </c>
      <c r="D336" t="s">
        <v>12861</v>
      </c>
      <c r="E336" t="s">
        <v>12862</v>
      </c>
      <c r="F336" t="s">
        <v>12759</v>
      </c>
      <c r="G336">
        <v>2011</v>
      </c>
      <c r="H336">
        <v>40793</v>
      </c>
      <c r="K336" t="s">
        <v>10043</v>
      </c>
    </row>
    <row r="337" spans="1:11" x14ac:dyDescent="0.15">
      <c r="A337">
        <v>12885772</v>
      </c>
      <c r="B337" t="s">
        <v>12863</v>
      </c>
      <c r="C337" t="s">
        <v>12864</v>
      </c>
      <c r="D337" t="s">
        <v>12865</v>
      </c>
      <c r="E337" t="s">
        <v>12866</v>
      </c>
      <c r="F337" t="s">
        <v>11800</v>
      </c>
      <c r="G337">
        <v>2003</v>
      </c>
      <c r="H337">
        <v>37832</v>
      </c>
      <c r="K337" t="s">
        <v>12867</v>
      </c>
    </row>
    <row r="338" spans="1:11" x14ac:dyDescent="0.15">
      <c r="A338">
        <v>23315742</v>
      </c>
      <c r="B338" t="s">
        <v>12868</v>
      </c>
      <c r="C338" t="s">
        <v>12869</v>
      </c>
      <c r="D338" t="s">
        <v>12870</v>
      </c>
      <c r="E338" t="s">
        <v>12871</v>
      </c>
      <c r="F338" t="s">
        <v>12872</v>
      </c>
      <c r="G338">
        <v>2013</v>
      </c>
      <c r="H338">
        <v>41289</v>
      </c>
      <c r="I338" t="s">
        <v>12873</v>
      </c>
      <c r="K338" t="s">
        <v>12874</v>
      </c>
    </row>
    <row r="339" spans="1:11" x14ac:dyDescent="0.15">
      <c r="A339">
        <v>15136153</v>
      </c>
      <c r="B339" t="s">
        <v>12875</v>
      </c>
      <c r="C339" t="s">
        <v>12876</v>
      </c>
      <c r="D339" t="s">
        <v>12877</v>
      </c>
      <c r="E339" t="s">
        <v>12878</v>
      </c>
      <c r="F339" t="s">
        <v>12879</v>
      </c>
      <c r="G339">
        <v>2004</v>
      </c>
      <c r="H339">
        <v>38119</v>
      </c>
      <c r="K339" t="s">
        <v>12880</v>
      </c>
    </row>
    <row r="340" spans="1:11" x14ac:dyDescent="0.15">
      <c r="A340">
        <v>20964628</v>
      </c>
      <c r="B340" t="s">
        <v>12881</v>
      </c>
      <c r="C340" t="s">
        <v>12882</v>
      </c>
      <c r="D340" t="s">
        <v>12883</v>
      </c>
      <c r="E340" t="s">
        <v>12884</v>
      </c>
      <c r="F340" t="s">
        <v>12885</v>
      </c>
      <c r="G340">
        <v>2011</v>
      </c>
      <c r="H340">
        <v>40474</v>
      </c>
      <c r="K340" t="s">
        <v>12886</v>
      </c>
    </row>
    <row r="341" spans="1:11" x14ac:dyDescent="0.15">
      <c r="A341">
        <v>1418007</v>
      </c>
      <c r="B341" t="s">
        <v>12887</v>
      </c>
      <c r="C341" t="s">
        <v>12888</v>
      </c>
      <c r="D341" t="s">
        <v>12889</v>
      </c>
      <c r="E341" t="s">
        <v>12890</v>
      </c>
      <c r="F341" t="s">
        <v>12891</v>
      </c>
      <c r="G341">
        <v>1992</v>
      </c>
      <c r="H341">
        <v>33888</v>
      </c>
      <c r="K341" t="s">
        <v>12892</v>
      </c>
    </row>
    <row r="342" spans="1:11" x14ac:dyDescent="0.15">
      <c r="A342">
        <v>22143786</v>
      </c>
      <c r="B342" t="s">
        <v>12893</v>
      </c>
      <c r="C342" t="s">
        <v>12894</v>
      </c>
      <c r="D342" t="s">
        <v>12895</v>
      </c>
      <c r="E342" t="s">
        <v>12896</v>
      </c>
      <c r="F342" t="s">
        <v>11193</v>
      </c>
      <c r="G342">
        <v>2011</v>
      </c>
      <c r="H342">
        <v>40884</v>
      </c>
      <c r="I342" t="s">
        <v>12897</v>
      </c>
      <c r="K342" t="s">
        <v>12898</v>
      </c>
    </row>
    <row r="343" spans="1:11" x14ac:dyDescent="0.15">
      <c r="A343">
        <v>27117590</v>
      </c>
      <c r="B343" t="s">
        <v>10236</v>
      </c>
      <c r="C343" t="s">
        <v>12899</v>
      </c>
      <c r="D343" t="s">
        <v>12900</v>
      </c>
      <c r="E343" t="s">
        <v>12901</v>
      </c>
      <c r="F343" t="s">
        <v>12902</v>
      </c>
      <c r="G343">
        <v>2016</v>
      </c>
      <c r="H343">
        <v>42488</v>
      </c>
      <c r="I343" t="s">
        <v>12903</v>
      </c>
      <c r="K343" t="s">
        <v>10248</v>
      </c>
    </row>
    <row r="344" spans="1:11" x14ac:dyDescent="0.15">
      <c r="A344">
        <v>22701748</v>
      </c>
      <c r="B344" t="s">
        <v>12904</v>
      </c>
      <c r="C344" t="s">
        <v>12905</v>
      </c>
      <c r="D344" t="s">
        <v>12906</v>
      </c>
      <c r="E344" t="s">
        <v>12907</v>
      </c>
      <c r="F344" t="s">
        <v>11650</v>
      </c>
      <c r="G344">
        <v>2012</v>
      </c>
      <c r="H344">
        <v>41076</v>
      </c>
      <c r="I344" t="s">
        <v>12908</v>
      </c>
      <c r="K344" t="s">
        <v>12909</v>
      </c>
    </row>
    <row r="345" spans="1:11" x14ac:dyDescent="0.15">
      <c r="A345">
        <v>35323012</v>
      </c>
      <c r="B345" t="s">
        <v>12910</v>
      </c>
      <c r="C345" t="s">
        <v>12911</v>
      </c>
      <c r="D345" t="s">
        <v>12912</v>
      </c>
      <c r="E345" t="s">
        <v>12913</v>
      </c>
      <c r="F345" t="s">
        <v>11453</v>
      </c>
      <c r="G345">
        <v>2022</v>
      </c>
      <c r="H345">
        <v>44644</v>
      </c>
      <c r="K345" t="s">
        <v>12914</v>
      </c>
    </row>
    <row r="346" spans="1:11" x14ac:dyDescent="0.15">
      <c r="A346">
        <v>31138886</v>
      </c>
      <c r="B346" t="s">
        <v>12915</v>
      </c>
      <c r="C346" t="s">
        <v>12916</v>
      </c>
      <c r="D346" t="s">
        <v>12917</v>
      </c>
      <c r="E346" t="s">
        <v>12253</v>
      </c>
      <c r="F346" t="s">
        <v>11466</v>
      </c>
      <c r="G346">
        <v>2019</v>
      </c>
      <c r="H346">
        <v>43615</v>
      </c>
      <c r="I346" t="s">
        <v>12918</v>
      </c>
      <c r="K346" t="s">
        <v>12919</v>
      </c>
    </row>
    <row r="347" spans="1:11" x14ac:dyDescent="0.15">
      <c r="A347">
        <v>23580760</v>
      </c>
      <c r="B347" t="s">
        <v>1903</v>
      </c>
      <c r="C347" t="s">
        <v>12920</v>
      </c>
      <c r="D347" t="s">
        <v>12921</v>
      </c>
      <c r="E347" t="s">
        <v>12922</v>
      </c>
      <c r="F347" t="s">
        <v>12923</v>
      </c>
      <c r="G347">
        <v>2013</v>
      </c>
      <c r="H347">
        <v>41377</v>
      </c>
      <c r="I347" t="s">
        <v>12924</v>
      </c>
      <c r="K347" t="s">
        <v>1914</v>
      </c>
    </row>
    <row r="348" spans="1:11" x14ac:dyDescent="0.15">
      <c r="A348">
        <v>9326278</v>
      </c>
      <c r="B348" t="s">
        <v>9482</v>
      </c>
      <c r="C348" t="s">
        <v>12925</v>
      </c>
      <c r="D348" t="s">
        <v>12926</v>
      </c>
      <c r="E348" t="s">
        <v>12927</v>
      </c>
      <c r="F348" t="s">
        <v>12443</v>
      </c>
      <c r="G348">
        <v>1997</v>
      </c>
      <c r="H348">
        <v>35739</v>
      </c>
      <c r="K348" t="s">
        <v>12928</v>
      </c>
    </row>
    <row r="349" spans="1:11" x14ac:dyDescent="0.15">
      <c r="A349">
        <v>24933019</v>
      </c>
      <c r="B349" t="s">
        <v>12929</v>
      </c>
      <c r="C349" t="s">
        <v>12930</v>
      </c>
      <c r="D349" t="s">
        <v>12931</v>
      </c>
      <c r="E349" t="s">
        <v>12932</v>
      </c>
      <c r="F349" t="s">
        <v>11650</v>
      </c>
      <c r="G349">
        <v>2014</v>
      </c>
      <c r="H349">
        <v>41807</v>
      </c>
      <c r="I349" t="s">
        <v>12933</v>
      </c>
      <c r="K349" t="s">
        <v>12934</v>
      </c>
    </row>
    <row r="350" spans="1:11" x14ac:dyDescent="0.15">
      <c r="A350">
        <v>22505472</v>
      </c>
      <c r="B350" t="s">
        <v>12935</v>
      </c>
      <c r="C350" t="s">
        <v>12936</v>
      </c>
      <c r="D350" t="s">
        <v>12937</v>
      </c>
      <c r="E350" t="s">
        <v>12938</v>
      </c>
      <c r="F350" t="s">
        <v>11962</v>
      </c>
      <c r="G350">
        <v>2012</v>
      </c>
      <c r="H350">
        <v>41016</v>
      </c>
      <c r="K350" t="s">
        <v>12939</v>
      </c>
    </row>
    <row r="351" spans="1:11" x14ac:dyDescent="0.15">
      <c r="A351">
        <v>23590857</v>
      </c>
      <c r="B351" t="s">
        <v>12940</v>
      </c>
      <c r="C351" t="s">
        <v>12941</v>
      </c>
      <c r="D351" t="s">
        <v>12942</v>
      </c>
      <c r="E351" t="s">
        <v>12943</v>
      </c>
      <c r="F351" t="s">
        <v>11530</v>
      </c>
      <c r="G351">
        <v>2013</v>
      </c>
      <c r="H351">
        <v>41382</v>
      </c>
      <c r="I351" t="s">
        <v>12944</v>
      </c>
      <c r="K351" t="s">
        <v>5428</v>
      </c>
    </row>
    <row r="352" spans="1:11" x14ac:dyDescent="0.15">
      <c r="A352">
        <v>34837760</v>
      </c>
      <c r="B352" t="s">
        <v>5747</v>
      </c>
      <c r="C352" t="s">
        <v>12945</v>
      </c>
      <c r="D352" t="s">
        <v>12946</v>
      </c>
      <c r="E352" t="s">
        <v>12947</v>
      </c>
      <c r="F352" t="s">
        <v>12948</v>
      </c>
      <c r="G352">
        <v>2022</v>
      </c>
      <c r="H352">
        <v>44527</v>
      </c>
      <c r="K352" t="s">
        <v>5757</v>
      </c>
    </row>
    <row r="353" spans="1:11" x14ac:dyDescent="0.15">
      <c r="A353">
        <v>35199894</v>
      </c>
      <c r="B353" t="s">
        <v>3796</v>
      </c>
      <c r="C353" t="s">
        <v>12949</v>
      </c>
      <c r="D353" t="s">
        <v>12950</v>
      </c>
      <c r="E353" t="s">
        <v>12951</v>
      </c>
      <c r="F353" t="s">
        <v>12952</v>
      </c>
      <c r="G353">
        <v>2022</v>
      </c>
      <c r="H353">
        <v>44616</v>
      </c>
      <c r="K353" t="s">
        <v>3808</v>
      </c>
    </row>
    <row r="354" spans="1:11" x14ac:dyDescent="0.15">
      <c r="A354">
        <v>29648974</v>
      </c>
      <c r="B354" t="s">
        <v>12953</v>
      </c>
      <c r="C354" t="s">
        <v>12954</v>
      </c>
      <c r="D354" t="s">
        <v>12955</v>
      </c>
      <c r="E354" t="s">
        <v>12956</v>
      </c>
      <c r="F354" t="s">
        <v>12957</v>
      </c>
      <c r="G354">
        <v>2018</v>
      </c>
      <c r="H354">
        <v>43203</v>
      </c>
      <c r="I354" t="s">
        <v>12958</v>
      </c>
      <c r="K354" t="s">
        <v>12959</v>
      </c>
    </row>
    <row r="355" spans="1:11" x14ac:dyDescent="0.15">
      <c r="A355">
        <v>10652961</v>
      </c>
      <c r="B355" t="s">
        <v>12960</v>
      </c>
      <c r="C355" t="s">
        <v>12961</v>
      </c>
      <c r="D355" t="s">
        <v>12962</v>
      </c>
      <c r="E355" t="s">
        <v>12963</v>
      </c>
      <c r="F355" t="s">
        <v>12964</v>
      </c>
      <c r="G355">
        <v>2000</v>
      </c>
      <c r="H355">
        <v>36557</v>
      </c>
      <c r="K355" t="s">
        <v>12965</v>
      </c>
    </row>
    <row r="356" spans="1:11" x14ac:dyDescent="0.15">
      <c r="A356">
        <v>11746262</v>
      </c>
      <c r="B356" t="s">
        <v>12966</v>
      </c>
      <c r="C356" t="s">
        <v>12967</v>
      </c>
      <c r="D356" t="s">
        <v>12968</v>
      </c>
      <c r="E356" t="s">
        <v>12969</v>
      </c>
      <c r="F356" t="s">
        <v>11419</v>
      </c>
      <c r="G356">
        <v>2001</v>
      </c>
      <c r="H356">
        <v>37243</v>
      </c>
      <c r="K356" t="s">
        <v>7649</v>
      </c>
    </row>
    <row r="357" spans="1:11" x14ac:dyDescent="0.15">
      <c r="A357">
        <v>7961777</v>
      </c>
      <c r="B357" t="s">
        <v>12970</v>
      </c>
      <c r="C357" t="s">
        <v>12971</v>
      </c>
      <c r="D357" t="s">
        <v>12972</v>
      </c>
      <c r="E357" t="s">
        <v>12973</v>
      </c>
      <c r="F357" t="s">
        <v>11800</v>
      </c>
      <c r="G357">
        <v>1994</v>
      </c>
      <c r="H357">
        <v>34649</v>
      </c>
    </row>
    <row r="358" spans="1:11" x14ac:dyDescent="0.15">
      <c r="A358">
        <v>35605028</v>
      </c>
      <c r="B358" t="s">
        <v>12974</v>
      </c>
      <c r="C358" t="s">
        <v>12975</v>
      </c>
      <c r="D358" t="s">
        <v>12976</v>
      </c>
      <c r="E358" t="s">
        <v>12977</v>
      </c>
      <c r="F358" t="s">
        <v>12978</v>
      </c>
      <c r="G358">
        <v>2022</v>
      </c>
      <c r="H358">
        <v>44704</v>
      </c>
      <c r="I358" t="s">
        <v>12979</v>
      </c>
      <c r="K358" t="s">
        <v>12980</v>
      </c>
    </row>
    <row r="359" spans="1:11" x14ac:dyDescent="0.15">
      <c r="A359">
        <v>30346568</v>
      </c>
      <c r="B359" t="s">
        <v>12981</v>
      </c>
      <c r="C359" t="s">
        <v>12982</v>
      </c>
      <c r="D359" t="s">
        <v>12983</v>
      </c>
      <c r="E359" t="s">
        <v>12984</v>
      </c>
      <c r="F359" t="s">
        <v>11871</v>
      </c>
      <c r="G359">
        <v>2019</v>
      </c>
      <c r="H359">
        <v>43396</v>
      </c>
      <c r="I359" t="s">
        <v>12985</v>
      </c>
      <c r="K359" t="s">
        <v>12986</v>
      </c>
    </row>
    <row r="360" spans="1:11" x14ac:dyDescent="0.15">
      <c r="A360">
        <v>19832990</v>
      </c>
      <c r="B360" t="s">
        <v>12987</v>
      </c>
      <c r="C360" t="s">
        <v>12988</v>
      </c>
      <c r="D360" t="s">
        <v>12989</v>
      </c>
      <c r="E360" t="s">
        <v>12990</v>
      </c>
      <c r="F360" t="s">
        <v>12110</v>
      </c>
      <c r="G360">
        <v>2009</v>
      </c>
      <c r="H360">
        <v>40103</v>
      </c>
      <c r="I360" t="s">
        <v>12991</v>
      </c>
      <c r="K360" t="s">
        <v>12992</v>
      </c>
    </row>
    <row r="361" spans="1:11" x14ac:dyDescent="0.15">
      <c r="A361">
        <v>24211404</v>
      </c>
      <c r="B361" t="s">
        <v>12993</v>
      </c>
      <c r="C361" t="s">
        <v>12994</v>
      </c>
      <c r="D361" t="s">
        <v>12995</v>
      </c>
      <c r="E361" t="s">
        <v>12996</v>
      </c>
      <c r="F361" t="s">
        <v>12997</v>
      </c>
      <c r="G361">
        <v>2014</v>
      </c>
      <c r="H361">
        <v>41590</v>
      </c>
      <c r="K361" t="s">
        <v>12998</v>
      </c>
    </row>
    <row r="362" spans="1:11" x14ac:dyDescent="0.15">
      <c r="A362">
        <v>23182441</v>
      </c>
      <c r="B362" t="s">
        <v>12999</v>
      </c>
      <c r="C362" t="s">
        <v>13000</v>
      </c>
      <c r="D362" t="s">
        <v>13001</v>
      </c>
      <c r="E362" t="s">
        <v>13002</v>
      </c>
      <c r="F362" t="s">
        <v>13003</v>
      </c>
      <c r="G362">
        <v>2013</v>
      </c>
      <c r="H362">
        <v>41241</v>
      </c>
      <c r="K362" t="s">
        <v>13004</v>
      </c>
    </row>
    <row r="363" spans="1:11" x14ac:dyDescent="0.15">
      <c r="A363">
        <v>10907991</v>
      </c>
      <c r="B363" t="s">
        <v>13005</v>
      </c>
      <c r="C363" t="s">
        <v>13006</v>
      </c>
      <c r="D363" t="s">
        <v>13007</v>
      </c>
      <c r="E363" t="s">
        <v>13008</v>
      </c>
      <c r="F363" t="s">
        <v>13009</v>
      </c>
      <c r="G363">
        <v>2000</v>
      </c>
      <c r="H363">
        <v>36732</v>
      </c>
      <c r="K363" t="s">
        <v>9237</v>
      </c>
    </row>
    <row r="364" spans="1:11" x14ac:dyDescent="0.15">
      <c r="A364">
        <v>31074077</v>
      </c>
      <c r="B364" t="s">
        <v>13010</v>
      </c>
      <c r="C364" t="s">
        <v>13011</v>
      </c>
      <c r="D364" t="s">
        <v>13012</v>
      </c>
      <c r="E364" t="s">
        <v>13013</v>
      </c>
      <c r="F364" t="s">
        <v>13014</v>
      </c>
      <c r="G364">
        <v>2019</v>
      </c>
      <c r="H364">
        <v>43596</v>
      </c>
      <c r="I364" t="s">
        <v>13015</v>
      </c>
      <c r="K364" t="s">
        <v>13016</v>
      </c>
    </row>
    <row r="365" spans="1:11" x14ac:dyDescent="0.15">
      <c r="A365">
        <v>23284625</v>
      </c>
      <c r="B365" t="s">
        <v>13017</v>
      </c>
      <c r="C365" t="s">
        <v>13018</v>
      </c>
      <c r="D365" t="s">
        <v>13019</v>
      </c>
      <c r="E365" t="s">
        <v>13020</v>
      </c>
      <c r="F365" t="s">
        <v>11650</v>
      </c>
      <c r="G365">
        <v>2012</v>
      </c>
      <c r="H365">
        <v>41278</v>
      </c>
      <c r="I365" t="s">
        <v>13021</v>
      </c>
      <c r="K365" t="s">
        <v>13022</v>
      </c>
    </row>
    <row r="366" spans="1:11" x14ac:dyDescent="0.15">
      <c r="A366">
        <v>24499465</v>
      </c>
      <c r="B366" t="s">
        <v>13023</v>
      </c>
      <c r="C366" t="s">
        <v>13024</v>
      </c>
      <c r="D366" t="s">
        <v>13025</v>
      </c>
      <c r="E366" t="s">
        <v>13026</v>
      </c>
      <c r="F366" t="s">
        <v>13027</v>
      </c>
      <c r="G366">
        <v>2014</v>
      </c>
      <c r="H366">
        <v>41677</v>
      </c>
      <c r="I366" t="s">
        <v>13028</v>
      </c>
      <c r="J366" t="s">
        <v>13029</v>
      </c>
      <c r="K366" t="s">
        <v>10399</v>
      </c>
    </row>
    <row r="367" spans="1:11" x14ac:dyDescent="0.15">
      <c r="A367">
        <v>34962643</v>
      </c>
      <c r="B367" t="s">
        <v>8611</v>
      </c>
      <c r="C367" t="s">
        <v>13030</v>
      </c>
      <c r="D367" t="s">
        <v>13031</v>
      </c>
      <c r="E367" t="s">
        <v>13032</v>
      </c>
      <c r="F367" t="s">
        <v>13033</v>
      </c>
      <c r="G367">
        <v>2022</v>
      </c>
      <c r="H367">
        <v>44558</v>
      </c>
      <c r="K367" t="s">
        <v>8623</v>
      </c>
    </row>
    <row r="368" spans="1:11" x14ac:dyDescent="0.15">
      <c r="A368">
        <v>31150422</v>
      </c>
      <c r="B368" t="s">
        <v>13034</v>
      </c>
      <c r="C368" t="s">
        <v>13035</v>
      </c>
      <c r="D368" t="s">
        <v>13036</v>
      </c>
      <c r="E368" t="s">
        <v>13037</v>
      </c>
      <c r="F368" t="s">
        <v>11650</v>
      </c>
      <c r="G368">
        <v>2019</v>
      </c>
      <c r="H368">
        <v>43617</v>
      </c>
      <c r="I368" t="s">
        <v>13038</v>
      </c>
      <c r="K368" t="s">
        <v>13039</v>
      </c>
    </row>
    <row r="369" spans="1:11" x14ac:dyDescent="0.15">
      <c r="A369">
        <v>34907783</v>
      </c>
      <c r="B369" t="s">
        <v>13040</v>
      </c>
      <c r="C369" t="s">
        <v>13041</v>
      </c>
      <c r="D369" t="s">
        <v>13042</v>
      </c>
      <c r="E369" t="s">
        <v>13043</v>
      </c>
      <c r="F369" t="s">
        <v>13044</v>
      </c>
      <c r="G369">
        <v>2022</v>
      </c>
      <c r="H369">
        <v>44545</v>
      </c>
      <c r="K369" t="s">
        <v>13045</v>
      </c>
    </row>
    <row r="370" spans="1:11" x14ac:dyDescent="0.15">
      <c r="A370">
        <v>20329788</v>
      </c>
      <c r="B370" t="s">
        <v>13046</v>
      </c>
      <c r="C370" t="s">
        <v>13047</v>
      </c>
      <c r="D370" t="s">
        <v>13048</v>
      </c>
      <c r="E370" t="s">
        <v>13049</v>
      </c>
      <c r="F370" t="s">
        <v>13050</v>
      </c>
      <c r="G370">
        <v>2010</v>
      </c>
      <c r="H370">
        <v>40262</v>
      </c>
      <c r="K370" t="s">
        <v>13051</v>
      </c>
    </row>
    <row r="371" spans="1:11" x14ac:dyDescent="0.15">
      <c r="A371">
        <v>7945469</v>
      </c>
      <c r="B371" t="s">
        <v>13052</v>
      </c>
      <c r="C371" t="s">
        <v>13053</v>
      </c>
      <c r="D371" t="s">
        <v>13054</v>
      </c>
      <c r="E371" t="s">
        <v>13055</v>
      </c>
      <c r="F371" t="s">
        <v>12891</v>
      </c>
      <c r="G371">
        <v>1994</v>
      </c>
      <c r="H371">
        <v>34608</v>
      </c>
      <c r="K371" t="s">
        <v>13056</v>
      </c>
    </row>
    <row r="372" spans="1:11" x14ac:dyDescent="0.15">
      <c r="A372">
        <v>17286953</v>
      </c>
      <c r="B372" t="s">
        <v>6892</v>
      </c>
      <c r="C372" t="s">
        <v>13057</v>
      </c>
      <c r="D372" t="s">
        <v>13058</v>
      </c>
      <c r="E372" t="s">
        <v>13059</v>
      </c>
      <c r="F372" t="s">
        <v>13060</v>
      </c>
      <c r="G372">
        <v>2007</v>
      </c>
      <c r="H372">
        <v>39122</v>
      </c>
      <c r="K372" t="s">
        <v>6904</v>
      </c>
    </row>
    <row r="373" spans="1:11" x14ac:dyDescent="0.15">
      <c r="A373">
        <v>9180905</v>
      </c>
      <c r="B373" t="s">
        <v>13061</v>
      </c>
      <c r="C373" t="s">
        <v>13062</v>
      </c>
      <c r="D373" t="s">
        <v>13063</v>
      </c>
      <c r="E373" t="s">
        <v>13064</v>
      </c>
      <c r="F373" t="s">
        <v>11258</v>
      </c>
      <c r="G373">
        <v>1997</v>
      </c>
      <c r="H373">
        <v>35582</v>
      </c>
      <c r="K373" t="s">
        <v>13065</v>
      </c>
    </row>
    <row r="374" spans="1:11" x14ac:dyDescent="0.15">
      <c r="A374">
        <v>15031288</v>
      </c>
      <c r="B374" t="s">
        <v>13066</v>
      </c>
      <c r="C374" t="s">
        <v>13067</v>
      </c>
      <c r="D374" t="s">
        <v>13068</v>
      </c>
      <c r="E374" t="s">
        <v>13069</v>
      </c>
      <c r="F374" t="s">
        <v>11800</v>
      </c>
      <c r="G374">
        <v>2004</v>
      </c>
      <c r="H374">
        <v>38066</v>
      </c>
      <c r="K374" t="s">
        <v>13070</v>
      </c>
    </row>
    <row r="375" spans="1:11" x14ac:dyDescent="0.15">
      <c r="A375">
        <v>28392234</v>
      </c>
      <c r="B375" t="s">
        <v>13071</v>
      </c>
      <c r="C375" t="s">
        <v>13072</v>
      </c>
      <c r="D375" t="s">
        <v>13073</v>
      </c>
      <c r="E375" t="s">
        <v>13074</v>
      </c>
      <c r="F375" t="s">
        <v>13075</v>
      </c>
      <c r="G375">
        <v>2017</v>
      </c>
      <c r="H375">
        <v>42836</v>
      </c>
      <c r="I375" t="s">
        <v>13076</v>
      </c>
      <c r="J375" t="s">
        <v>13077</v>
      </c>
      <c r="K375" t="s">
        <v>13078</v>
      </c>
    </row>
    <row r="376" spans="1:11" x14ac:dyDescent="0.15">
      <c r="A376">
        <v>23696541</v>
      </c>
      <c r="B376" t="s">
        <v>13079</v>
      </c>
      <c r="C376" t="s">
        <v>13080</v>
      </c>
      <c r="D376" t="s">
        <v>13081</v>
      </c>
      <c r="E376" t="s">
        <v>13082</v>
      </c>
      <c r="F376" t="s">
        <v>13083</v>
      </c>
      <c r="G376">
        <v>2013</v>
      </c>
      <c r="H376">
        <v>41417</v>
      </c>
      <c r="K376" t="s">
        <v>13084</v>
      </c>
    </row>
    <row r="377" spans="1:11" x14ac:dyDescent="0.15">
      <c r="A377">
        <v>16583463</v>
      </c>
      <c r="B377" t="s">
        <v>13085</v>
      </c>
      <c r="C377" t="s">
        <v>13086</v>
      </c>
      <c r="D377" t="s">
        <v>13087</v>
      </c>
      <c r="E377" t="s">
        <v>13088</v>
      </c>
      <c r="F377" t="s">
        <v>13089</v>
      </c>
      <c r="G377">
        <v>2006</v>
      </c>
      <c r="H377">
        <v>38811</v>
      </c>
    </row>
    <row r="378" spans="1:11" x14ac:dyDescent="0.15">
      <c r="A378">
        <v>33734019</v>
      </c>
      <c r="B378" t="s">
        <v>13090</v>
      </c>
      <c r="C378" t="s">
        <v>13091</v>
      </c>
      <c r="D378" t="s">
        <v>13092</v>
      </c>
      <c r="E378" t="s">
        <v>13093</v>
      </c>
      <c r="F378" t="s">
        <v>13094</v>
      </c>
      <c r="G378">
        <v>2022</v>
      </c>
      <c r="H378">
        <v>44273</v>
      </c>
      <c r="I378" t="s">
        <v>13095</v>
      </c>
      <c r="K378" t="s">
        <v>13096</v>
      </c>
    </row>
    <row r="379" spans="1:11" x14ac:dyDescent="0.15">
      <c r="A379">
        <v>20631136</v>
      </c>
      <c r="B379" t="s">
        <v>13097</v>
      </c>
      <c r="C379" t="s">
        <v>13098</v>
      </c>
      <c r="D379" t="s">
        <v>13099</v>
      </c>
      <c r="E379" t="s">
        <v>13100</v>
      </c>
      <c r="F379" t="s">
        <v>13101</v>
      </c>
      <c r="G379">
        <v>2010</v>
      </c>
      <c r="H379">
        <v>40375</v>
      </c>
      <c r="I379" t="s">
        <v>13102</v>
      </c>
      <c r="K379" t="s">
        <v>13103</v>
      </c>
    </row>
    <row r="380" spans="1:11" x14ac:dyDescent="0.15">
      <c r="A380">
        <v>3007532</v>
      </c>
      <c r="B380" t="s">
        <v>13104</v>
      </c>
      <c r="C380" t="s">
        <v>13105</v>
      </c>
      <c r="D380" t="s">
        <v>13106</v>
      </c>
      <c r="E380" t="s">
        <v>13107</v>
      </c>
      <c r="F380" t="s">
        <v>13108</v>
      </c>
      <c r="G380">
        <v>1986</v>
      </c>
      <c r="H380">
        <v>31503</v>
      </c>
      <c r="I380" t="s">
        <v>13109</v>
      </c>
      <c r="K380" t="s">
        <v>13110</v>
      </c>
    </row>
    <row r="381" spans="1:11" x14ac:dyDescent="0.15">
      <c r="A381">
        <v>35605011</v>
      </c>
      <c r="B381" t="s">
        <v>13111</v>
      </c>
      <c r="C381" t="s">
        <v>13112</v>
      </c>
      <c r="D381" t="s">
        <v>13113</v>
      </c>
      <c r="E381" t="s">
        <v>13114</v>
      </c>
      <c r="F381" t="s">
        <v>12062</v>
      </c>
      <c r="G381">
        <v>2022</v>
      </c>
      <c r="H381">
        <v>44704</v>
      </c>
      <c r="I381" t="s">
        <v>13115</v>
      </c>
      <c r="K381" t="s">
        <v>13116</v>
      </c>
    </row>
    <row r="382" spans="1:11" x14ac:dyDescent="0.15">
      <c r="A382">
        <v>22723882</v>
      </c>
      <c r="B382" t="s">
        <v>13117</v>
      </c>
      <c r="C382" t="s">
        <v>13118</v>
      </c>
      <c r="D382" t="s">
        <v>13119</v>
      </c>
      <c r="E382" t="s">
        <v>13120</v>
      </c>
      <c r="F382" t="s">
        <v>11650</v>
      </c>
      <c r="G382">
        <v>2012</v>
      </c>
      <c r="H382">
        <v>41083</v>
      </c>
      <c r="I382" t="s">
        <v>13121</v>
      </c>
      <c r="K382" t="s">
        <v>10476</v>
      </c>
    </row>
    <row r="383" spans="1:11" x14ac:dyDescent="0.15">
      <c r="A383">
        <v>22238051</v>
      </c>
      <c r="B383" t="s">
        <v>13122</v>
      </c>
      <c r="C383" t="s">
        <v>13123</v>
      </c>
      <c r="D383" t="s">
        <v>13124</v>
      </c>
      <c r="E383" t="s">
        <v>13125</v>
      </c>
      <c r="F383" t="s">
        <v>12891</v>
      </c>
      <c r="G383">
        <v>2012</v>
      </c>
      <c r="H383">
        <v>40921</v>
      </c>
      <c r="K383" t="s">
        <v>13126</v>
      </c>
    </row>
    <row r="384" spans="1:11" x14ac:dyDescent="0.15">
      <c r="A384">
        <v>21491915</v>
      </c>
      <c r="B384" t="s">
        <v>13127</v>
      </c>
      <c r="C384" t="s">
        <v>13128</v>
      </c>
      <c r="D384" t="s">
        <v>13129</v>
      </c>
      <c r="E384" t="s">
        <v>13130</v>
      </c>
      <c r="F384" t="s">
        <v>13050</v>
      </c>
      <c r="G384">
        <v>2011</v>
      </c>
      <c r="H384">
        <v>40649</v>
      </c>
      <c r="K384" t="s">
        <v>9545</v>
      </c>
    </row>
    <row r="385" spans="1:11" x14ac:dyDescent="0.15">
      <c r="A385">
        <v>26018205</v>
      </c>
      <c r="B385" t="s">
        <v>10077</v>
      </c>
      <c r="C385" t="s">
        <v>13131</v>
      </c>
      <c r="D385" t="s">
        <v>13132</v>
      </c>
      <c r="E385" t="s">
        <v>13133</v>
      </c>
      <c r="F385" t="s">
        <v>11650</v>
      </c>
      <c r="G385">
        <v>2015</v>
      </c>
      <c r="H385">
        <v>42153</v>
      </c>
      <c r="I385" t="s">
        <v>13134</v>
      </c>
      <c r="K385" t="s">
        <v>10088</v>
      </c>
    </row>
    <row r="386" spans="1:11" x14ac:dyDescent="0.15">
      <c r="A386">
        <v>35200555</v>
      </c>
      <c r="B386" t="s">
        <v>13135</v>
      </c>
      <c r="C386" t="s">
        <v>13136</v>
      </c>
      <c r="D386" t="s">
        <v>13137</v>
      </c>
      <c r="E386" t="s">
        <v>13138</v>
      </c>
      <c r="F386" t="s">
        <v>13139</v>
      </c>
      <c r="G386">
        <v>2022</v>
      </c>
      <c r="H386">
        <v>44616</v>
      </c>
      <c r="I386" t="s">
        <v>13140</v>
      </c>
      <c r="K386" t="s">
        <v>13141</v>
      </c>
    </row>
    <row r="387" spans="1:11" x14ac:dyDescent="0.15">
      <c r="A387">
        <v>9668172</v>
      </c>
      <c r="B387" t="s">
        <v>13142</v>
      </c>
      <c r="C387" t="s">
        <v>13143</v>
      </c>
      <c r="D387" t="s">
        <v>13144</v>
      </c>
      <c r="E387" t="s">
        <v>13145</v>
      </c>
      <c r="F387" t="s">
        <v>13146</v>
      </c>
      <c r="G387">
        <v>1998</v>
      </c>
      <c r="H387">
        <v>35997</v>
      </c>
      <c r="K387" t="s">
        <v>13147</v>
      </c>
    </row>
    <row r="388" spans="1:11" x14ac:dyDescent="0.15">
      <c r="A388">
        <v>35042294</v>
      </c>
      <c r="B388" t="s">
        <v>5004</v>
      </c>
      <c r="C388" t="s">
        <v>13148</v>
      </c>
      <c r="D388" t="s">
        <v>13149</v>
      </c>
      <c r="E388" t="s">
        <v>13150</v>
      </c>
      <c r="F388" t="s">
        <v>11453</v>
      </c>
      <c r="G388">
        <v>2022</v>
      </c>
      <c r="H388">
        <v>44580</v>
      </c>
      <c r="K388" t="s">
        <v>5013</v>
      </c>
    </row>
    <row r="389" spans="1:11" x14ac:dyDescent="0.15">
      <c r="A389">
        <v>28844893</v>
      </c>
      <c r="B389" t="s">
        <v>13151</v>
      </c>
      <c r="C389" t="s">
        <v>13152</v>
      </c>
      <c r="D389" t="s">
        <v>13153</v>
      </c>
      <c r="E389" t="s">
        <v>13154</v>
      </c>
      <c r="F389" t="s">
        <v>13155</v>
      </c>
      <c r="G389">
        <v>2017</v>
      </c>
      <c r="H389">
        <v>42976</v>
      </c>
      <c r="K389" t="s">
        <v>13156</v>
      </c>
    </row>
    <row r="390" spans="1:11" x14ac:dyDescent="0.15">
      <c r="A390">
        <v>35044159</v>
      </c>
      <c r="B390" t="s">
        <v>7628</v>
      </c>
      <c r="C390" t="s">
        <v>13157</v>
      </c>
      <c r="D390" t="s">
        <v>13158</v>
      </c>
      <c r="E390" t="s">
        <v>13159</v>
      </c>
      <c r="F390" t="s">
        <v>11453</v>
      </c>
      <c r="G390">
        <v>2022</v>
      </c>
      <c r="H390">
        <v>44580</v>
      </c>
      <c r="K390" t="s">
        <v>7637</v>
      </c>
    </row>
    <row r="391" spans="1:11" x14ac:dyDescent="0.15">
      <c r="A391">
        <v>7745687</v>
      </c>
      <c r="B391" t="s">
        <v>13160</v>
      </c>
      <c r="C391" t="s">
        <v>13161</v>
      </c>
      <c r="D391" t="s">
        <v>13162</v>
      </c>
      <c r="E391" t="s">
        <v>13163</v>
      </c>
      <c r="F391" t="s">
        <v>13101</v>
      </c>
      <c r="G391">
        <v>1995</v>
      </c>
      <c r="H391">
        <v>34851</v>
      </c>
      <c r="I391" t="s">
        <v>13164</v>
      </c>
      <c r="K391" t="s">
        <v>13165</v>
      </c>
    </row>
    <row r="392" spans="1:11" x14ac:dyDescent="0.15">
      <c r="A392">
        <v>26246178</v>
      </c>
      <c r="B392" t="s">
        <v>13166</v>
      </c>
      <c r="C392" t="s">
        <v>13167</v>
      </c>
      <c r="D392" t="s">
        <v>13168</v>
      </c>
      <c r="E392" t="s">
        <v>13169</v>
      </c>
      <c r="F392" t="s">
        <v>11814</v>
      </c>
      <c r="G392">
        <v>2015</v>
      </c>
      <c r="H392">
        <v>42223</v>
      </c>
      <c r="K392" t="s">
        <v>13170</v>
      </c>
    </row>
    <row r="393" spans="1:11" x14ac:dyDescent="0.15">
      <c r="A393">
        <v>16461938</v>
      </c>
      <c r="B393" t="s">
        <v>13171</v>
      </c>
      <c r="C393" t="s">
        <v>13172</v>
      </c>
      <c r="D393" t="s">
        <v>13173</v>
      </c>
      <c r="E393" t="s">
        <v>13174</v>
      </c>
      <c r="F393" t="s">
        <v>13175</v>
      </c>
      <c r="G393">
        <v>2006</v>
      </c>
      <c r="H393">
        <v>38756</v>
      </c>
      <c r="K393" t="s">
        <v>13176</v>
      </c>
    </row>
    <row r="394" spans="1:11" x14ac:dyDescent="0.15">
      <c r="A394">
        <v>35275615</v>
      </c>
      <c r="B394" t="s">
        <v>13177</v>
      </c>
      <c r="C394" t="s">
        <v>13178</v>
      </c>
      <c r="D394" t="s">
        <v>13179</v>
      </c>
      <c r="E394" t="s">
        <v>13180</v>
      </c>
      <c r="F394" t="s">
        <v>11453</v>
      </c>
      <c r="G394">
        <v>2022</v>
      </c>
      <c r="H394">
        <v>44631</v>
      </c>
      <c r="K394" t="s">
        <v>13181</v>
      </c>
    </row>
    <row r="395" spans="1:11" x14ac:dyDescent="0.15">
      <c r="A395">
        <v>1649554</v>
      </c>
      <c r="B395" t="s">
        <v>13182</v>
      </c>
      <c r="C395" t="s">
        <v>13183</v>
      </c>
      <c r="D395" t="s">
        <v>13184</v>
      </c>
      <c r="E395" t="s">
        <v>13185</v>
      </c>
      <c r="F395" t="s">
        <v>12623</v>
      </c>
      <c r="G395">
        <v>1991</v>
      </c>
      <c r="H395">
        <v>33420</v>
      </c>
      <c r="I395" t="s">
        <v>13186</v>
      </c>
    </row>
    <row r="396" spans="1:11" x14ac:dyDescent="0.15">
      <c r="A396">
        <v>11352238</v>
      </c>
      <c r="B396" t="s">
        <v>10269</v>
      </c>
      <c r="C396" t="s">
        <v>13187</v>
      </c>
      <c r="D396" t="s">
        <v>13188</v>
      </c>
      <c r="E396" t="s">
        <v>13189</v>
      </c>
      <c r="F396" t="s">
        <v>12891</v>
      </c>
      <c r="G396">
        <v>2001</v>
      </c>
      <c r="H396">
        <v>37027</v>
      </c>
      <c r="K396" t="s">
        <v>13190</v>
      </c>
    </row>
    <row r="397" spans="1:11" x14ac:dyDescent="0.15">
      <c r="A397">
        <v>11090220</v>
      </c>
      <c r="B397" t="s">
        <v>13191</v>
      </c>
      <c r="C397" t="s">
        <v>13192</v>
      </c>
      <c r="D397" t="s">
        <v>13193</v>
      </c>
      <c r="E397" t="s">
        <v>13194</v>
      </c>
      <c r="F397" t="s">
        <v>13195</v>
      </c>
      <c r="G397">
        <v>2000</v>
      </c>
      <c r="H397">
        <v>36853</v>
      </c>
      <c r="I397" t="s">
        <v>13196</v>
      </c>
      <c r="K397" t="s">
        <v>13197</v>
      </c>
    </row>
    <row r="398" spans="1:11" x14ac:dyDescent="0.15">
      <c r="A398">
        <v>10772249</v>
      </c>
      <c r="B398" t="s">
        <v>13198</v>
      </c>
      <c r="C398" t="s">
        <v>13199</v>
      </c>
      <c r="D398" t="s">
        <v>13200</v>
      </c>
      <c r="E398" t="s">
        <v>13201</v>
      </c>
      <c r="F398" t="s">
        <v>13202</v>
      </c>
      <c r="G398">
        <v>2000</v>
      </c>
      <c r="H398">
        <v>36636</v>
      </c>
      <c r="K398" t="s">
        <v>13203</v>
      </c>
    </row>
    <row r="399" spans="1:11" x14ac:dyDescent="0.15">
      <c r="A399">
        <v>10721728</v>
      </c>
      <c r="B399" t="s">
        <v>13204</v>
      </c>
      <c r="C399" t="s">
        <v>13205</v>
      </c>
      <c r="D399" t="s">
        <v>13206</v>
      </c>
      <c r="E399" t="s">
        <v>13207</v>
      </c>
      <c r="F399" t="s">
        <v>13208</v>
      </c>
      <c r="G399">
        <v>2000</v>
      </c>
      <c r="H399">
        <v>36603</v>
      </c>
      <c r="K399" t="s">
        <v>13209</v>
      </c>
    </row>
    <row r="400" spans="1:11" x14ac:dyDescent="0.15">
      <c r="A400">
        <v>1644924</v>
      </c>
      <c r="B400" t="s">
        <v>13210</v>
      </c>
      <c r="C400" t="s">
        <v>13211</v>
      </c>
      <c r="D400" t="s">
        <v>13212</v>
      </c>
      <c r="E400" t="s">
        <v>13055</v>
      </c>
      <c r="F400" t="s">
        <v>11289</v>
      </c>
      <c r="G400">
        <v>1992</v>
      </c>
      <c r="H400">
        <v>33817</v>
      </c>
      <c r="I400" t="s">
        <v>13213</v>
      </c>
      <c r="K400" t="s">
        <v>13214</v>
      </c>
    </row>
    <row r="401" spans="1:11" x14ac:dyDescent="0.15">
      <c r="A401">
        <v>17823924</v>
      </c>
      <c r="B401" t="s">
        <v>13215</v>
      </c>
      <c r="C401" t="s">
        <v>13216</v>
      </c>
      <c r="D401" t="s">
        <v>13217</v>
      </c>
      <c r="E401" t="s">
        <v>13218</v>
      </c>
      <c r="F401" t="s">
        <v>11419</v>
      </c>
      <c r="G401">
        <v>2007</v>
      </c>
      <c r="H401">
        <v>39333</v>
      </c>
      <c r="K401" t="s">
        <v>13219</v>
      </c>
    </row>
    <row r="402" spans="1:11" x14ac:dyDescent="0.15">
      <c r="A402">
        <v>9712834</v>
      </c>
      <c r="B402" t="s">
        <v>13220</v>
      </c>
      <c r="C402" t="s">
        <v>13221</v>
      </c>
      <c r="D402" t="s">
        <v>13222</v>
      </c>
      <c r="E402" t="s">
        <v>13223</v>
      </c>
      <c r="F402" t="s">
        <v>11800</v>
      </c>
      <c r="G402">
        <v>1998</v>
      </c>
      <c r="H402">
        <v>36033</v>
      </c>
      <c r="K402" t="s">
        <v>13224</v>
      </c>
    </row>
    <row r="403" spans="1:11" x14ac:dyDescent="0.15">
      <c r="A403">
        <v>10532697</v>
      </c>
      <c r="B403" t="s">
        <v>7367</v>
      </c>
      <c r="C403" t="s">
        <v>13225</v>
      </c>
      <c r="D403" t="s">
        <v>13226</v>
      </c>
      <c r="E403" t="s">
        <v>13227</v>
      </c>
      <c r="F403" t="s">
        <v>12378</v>
      </c>
      <c r="G403">
        <v>1999</v>
      </c>
      <c r="H403">
        <v>36459</v>
      </c>
      <c r="K403" t="s">
        <v>13228</v>
      </c>
    </row>
    <row r="404" spans="1:11" x14ac:dyDescent="0.15">
      <c r="A404">
        <v>17546597</v>
      </c>
      <c r="B404" t="s">
        <v>13229</v>
      </c>
      <c r="C404" t="s">
        <v>13230</v>
      </c>
      <c r="D404" t="s">
        <v>13231</v>
      </c>
      <c r="E404" t="s">
        <v>13232</v>
      </c>
      <c r="F404" t="s">
        <v>11856</v>
      </c>
      <c r="G404">
        <v>2007</v>
      </c>
      <c r="H404">
        <v>39238</v>
      </c>
      <c r="K404" t="s">
        <v>13233</v>
      </c>
    </row>
    <row r="405" spans="1:11" x14ac:dyDescent="0.15">
      <c r="A405">
        <v>22306653</v>
      </c>
      <c r="B405" t="s">
        <v>13234</v>
      </c>
      <c r="C405" t="s">
        <v>13235</v>
      </c>
      <c r="D405" t="s">
        <v>13236</v>
      </c>
      <c r="E405" t="s">
        <v>13237</v>
      </c>
      <c r="F405" t="s">
        <v>13238</v>
      </c>
      <c r="G405">
        <v>2012</v>
      </c>
      <c r="H405">
        <v>40946</v>
      </c>
      <c r="K405" t="s">
        <v>13239</v>
      </c>
    </row>
    <row r="406" spans="1:11" x14ac:dyDescent="0.15">
      <c r="A406">
        <v>2689174</v>
      </c>
      <c r="B406" t="s">
        <v>13240</v>
      </c>
      <c r="C406" t="s">
        <v>13241</v>
      </c>
      <c r="D406" t="s">
        <v>13242</v>
      </c>
      <c r="E406" t="s">
        <v>13243</v>
      </c>
      <c r="F406" t="s">
        <v>13244</v>
      </c>
      <c r="G406">
        <v>1989</v>
      </c>
      <c r="H406">
        <v>32850</v>
      </c>
      <c r="K406" t="s">
        <v>13245</v>
      </c>
    </row>
    <row r="407" spans="1:11" x14ac:dyDescent="0.15">
      <c r="A407">
        <v>9873029</v>
      </c>
      <c r="B407" t="s">
        <v>13246</v>
      </c>
      <c r="C407" t="s">
        <v>13247</v>
      </c>
      <c r="D407" t="s">
        <v>13248</v>
      </c>
      <c r="E407" t="s">
        <v>13249</v>
      </c>
      <c r="F407" t="s">
        <v>11800</v>
      </c>
      <c r="G407">
        <v>1999</v>
      </c>
      <c r="H407">
        <v>36165</v>
      </c>
      <c r="K407" t="s">
        <v>13250</v>
      </c>
    </row>
    <row r="408" spans="1:11" x14ac:dyDescent="0.15">
      <c r="A408">
        <v>12509439</v>
      </c>
      <c r="B408" t="s">
        <v>13251</v>
      </c>
      <c r="C408" t="s">
        <v>13252</v>
      </c>
      <c r="D408" t="s">
        <v>13253</v>
      </c>
      <c r="E408" t="s">
        <v>13254</v>
      </c>
      <c r="F408" t="s">
        <v>11800</v>
      </c>
      <c r="G408">
        <v>2003</v>
      </c>
      <c r="H408">
        <v>37623</v>
      </c>
      <c r="K408" t="s">
        <v>13255</v>
      </c>
    </row>
    <row r="409" spans="1:11" x14ac:dyDescent="0.15">
      <c r="A409">
        <v>23020974</v>
      </c>
      <c r="B409" t="s">
        <v>13256</v>
      </c>
      <c r="C409" t="s">
        <v>13257</v>
      </c>
      <c r="D409" t="s">
        <v>13258</v>
      </c>
      <c r="E409" t="s">
        <v>13259</v>
      </c>
      <c r="F409" t="s">
        <v>13260</v>
      </c>
      <c r="G409">
        <v>2012</v>
      </c>
      <c r="H409">
        <v>41184</v>
      </c>
      <c r="K409" t="s">
        <v>13261</v>
      </c>
    </row>
    <row r="410" spans="1:11" x14ac:dyDescent="0.15">
      <c r="A410">
        <v>7559527</v>
      </c>
      <c r="B410" t="s">
        <v>13262</v>
      </c>
      <c r="C410" t="s">
        <v>13263</v>
      </c>
      <c r="D410" t="s">
        <v>13264</v>
      </c>
      <c r="E410" t="s">
        <v>13265</v>
      </c>
      <c r="F410" t="s">
        <v>11800</v>
      </c>
      <c r="G410">
        <v>1995</v>
      </c>
      <c r="H410">
        <v>34978</v>
      </c>
      <c r="K410" t="s">
        <v>13266</v>
      </c>
    </row>
    <row r="412" spans="1:11" x14ac:dyDescent="0.15">
      <c r="A412">
        <v>10782830</v>
      </c>
      <c r="B412" t="s">
        <v>13267</v>
      </c>
      <c r="C412" t="s">
        <v>13268</v>
      </c>
      <c r="D412" t="s">
        <v>13269</v>
      </c>
      <c r="E412" t="s">
        <v>13270</v>
      </c>
      <c r="F412" t="s">
        <v>13089</v>
      </c>
      <c r="G412">
        <v>2000</v>
      </c>
      <c r="H412">
        <v>36643</v>
      </c>
    </row>
    <row r="413" spans="1:11" x14ac:dyDescent="0.15">
      <c r="A413">
        <v>2154094</v>
      </c>
      <c r="B413" t="s">
        <v>13271</v>
      </c>
      <c r="C413" t="s">
        <v>13272</v>
      </c>
      <c r="D413" t="s">
        <v>13273</v>
      </c>
      <c r="E413" t="s">
        <v>13274</v>
      </c>
      <c r="F413" t="s">
        <v>13275</v>
      </c>
      <c r="G413">
        <v>1990</v>
      </c>
      <c r="H413">
        <v>32905</v>
      </c>
      <c r="K413" t="s">
        <v>13276</v>
      </c>
    </row>
    <row r="414" spans="1:11" x14ac:dyDescent="0.15">
      <c r="A414">
        <v>9652412</v>
      </c>
      <c r="B414" t="s">
        <v>8597</v>
      </c>
      <c r="C414" t="s">
        <v>13277</v>
      </c>
      <c r="D414" t="s">
        <v>13278</v>
      </c>
      <c r="E414" t="s">
        <v>13279</v>
      </c>
      <c r="F414" t="s">
        <v>13244</v>
      </c>
      <c r="G414">
        <v>1998</v>
      </c>
      <c r="H414">
        <v>35980</v>
      </c>
      <c r="K414" t="s">
        <v>8607</v>
      </c>
    </row>
    <row r="415" spans="1:11" x14ac:dyDescent="0.15">
      <c r="A415">
        <v>22192456</v>
      </c>
      <c r="B415" t="s">
        <v>8683</v>
      </c>
      <c r="C415" t="s">
        <v>13280</v>
      </c>
      <c r="D415" t="s">
        <v>13281</v>
      </c>
      <c r="E415" t="s">
        <v>13282</v>
      </c>
      <c r="F415" t="s">
        <v>13283</v>
      </c>
      <c r="G415">
        <v>2012</v>
      </c>
      <c r="H415">
        <v>40901</v>
      </c>
      <c r="I415" t="s">
        <v>13284</v>
      </c>
      <c r="J415" t="s">
        <v>13285</v>
      </c>
      <c r="K415" t="s">
        <v>8695</v>
      </c>
    </row>
    <row r="416" spans="1:11" x14ac:dyDescent="0.15">
      <c r="A416">
        <v>18089561</v>
      </c>
      <c r="B416" t="s">
        <v>13286</v>
      </c>
      <c r="C416" t="s">
        <v>13287</v>
      </c>
      <c r="D416" t="s">
        <v>13288</v>
      </c>
      <c r="E416" t="s">
        <v>13289</v>
      </c>
      <c r="F416" t="s">
        <v>11800</v>
      </c>
      <c r="G416">
        <v>2008</v>
      </c>
      <c r="H416">
        <v>39436</v>
      </c>
      <c r="K416" t="s">
        <v>10027</v>
      </c>
    </row>
    <row r="417" spans="1:11" x14ac:dyDescent="0.15">
      <c r="A417">
        <v>8034739</v>
      </c>
      <c r="B417" t="s">
        <v>13290</v>
      </c>
      <c r="C417" t="s">
        <v>13291</v>
      </c>
      <c r="D417" t="s">
        <v>13292</v>
      </c>
      <c r="E417" t="s">
        <v>13293</v>
      </c>
      <c r="F417" t="s">
        <v>13108</v>
      </c>
      <c r="G417">
        <v>1994</v>
      </c>
      <c r="H417">
        <v>34516</v>
      </c>
      <c r="I417" t="s">
        <v>13294</v>
      </c>
      <c r="K417" t="s">
        <v>13295</v>
      </c>
    </row>
    <row r="418" spans="1:11" x14ac:dyDescent="0.15">
      <c r="A418">
        <v>9530176</v>
      </c>
      <c r="B418" t="s">
        <v>13296</v>
      </c>
      <c r="C418" t="s">
        <v>13297</v>
      </c>
      <c r="D418" t="s">
        <v>13298</v>
      </c>
      <c r="E418" t="s">
        <v>13299</v>
      </c>
      <c r="F418" t="s">
        <v>13300</v>
      </c>
      <c r="G418">
        <v>1998</v>
      </c>
      <c r="H418">
        <v>35893</v>
      </c>
      <c r="K418" t="s">
        <v>13301</v>
      </c>
    </row>
    <row r="419" spans="1:11" x14ac:dyDescent="0.15">
      <c r="A419">
        <v>16553833</v>
      </c>
      <c r="B419" t="s">
        <v>13302</v>
      </c>
      <c r="C419" t="s">
        <v>13303</v>
      </c>
      <c r="D419" t="s">
        <v>13304</v>
      </c>
      <c r="E419" t="s">
        <v>13305</v>
      </c>
      <c r="F419" t="s">
        <v>13306</v>
      </c>
      <c r="G419">
        <v>2006</v>
      </c>
      <c r="H419">
        <v>38800</v>
      </c>
      <c r="K419" t="s">
        <v>13307</v>
      </c>
    </row>
    <row r="420" spans="1:11" x14ac:dyDescent="0.15">
      <c r="A420">
        <v>21677667</v>
      </c>
      <c r="B420" t="s">
        <v>13308</v>
      </c>
      <c r="C420" t="s">
        <v>13309</v>
      </c>
      <c r="D420" t="s">
        <v>13310</v>
      </c>
      <c r="E420" t="s">
        <v>13311</v>
      </c>
      <c r="F420" t="s">
        <v>13312</v>
      </c>
      <c r="G420">
        <v>2011</v>
      </c>
      <c r="H420">
        <v>40711</v>
      </c>
      <c r="I420" t="s">
        <v>13313</v>
      </c>
      <c r="J420" t="s">
        <v>13314</v>
      </c>
      <c r="K420" t="s">
        <v>13315</v>
      </c>
    </row>
    <row r="421" spans="1:11" x14ac:dyDescent="0.15">
      <c r="A421">
        <v>18725234</v>
      </c>
      <c r="B421" t="s">
        <v>13316</v>
      </c>
      <c r="C421" t="s">
        <v>13317</v>
      </c>
      <c r="D421" t="s">
        <v>13318</v>
      </c>
      <c r="E421" t="s">
        <v>13319</v>
      </c>
      <c r="F421" t="s">
        <v>13320</v>
      </c>
      <c r="G421">
        <v>2008</v>
      </c>
      <c r="H421">
        <v>39690</v>
      </c>
      <c r="K421" t="s">
        <v>13321</v>
      </c>
    </row>
    <row r="422" spans="1:11" x14ac:dyDescent="0.15">
      <c r="A422">
        <v>8282779</v>
      </c>
      <c r="B422" t="s">
        <v>13322</v>
      </c>
      <c r="C422" t="s">
        <v>13323</v>
      </c>
      <c r="D422" t="s">
        <v>13324</v>
      </c>
      <c r="E422" t="s">
        <v>13325</v>
      </c>
      <c r="F422" t="s">
        <v>11289</v>
      </c>
      <c r="G422">
        <v>1994</v>
      </c>
      <c r="H422">
        <v>34335</v>
      </c>
      <c r="I422" t="s">
        <v>13326</v>
      </c>
      <c r="K422" t="s">
        <v>10517</v>
      </c>
    </row>
    <row r="423" spans="1:11" x14ac:dyDescent="0.15">
      <c r="A423">
        <v>9165051</v>
      </c>
      <c r="B423" t="s">
        <v>13327</v>
      </c>
      <c r="C423" t="s">
        <v>13328</v>
      </c>
      <c r="D423" t="s">
        <v>13329</v>
      </c>
      <c r="E423" t="s">
        <v>13330</v>
      </c>
      <c r="F423" t="s">
        <v>13331</v>
      </c>
      <c r="G423">
        <v>1997</v>
      </c>
      <c r="H423">
        <v>35582</v>
      </c>
      <c r="K423" t="s">
        <v>13332</v>
      </c>
    </row>
    <row r="424" spans="1:11" x14ac:dyDescent="0.15">
      <c r="A424">
        <v>11207362</v>
      </c>
      <c r="B424" t="s">
        <v>13333</v>
      </c>
      <c r="C424" t="s">
        <v>13334</v>
      </c>
      <c r="D424" t="s">
        <v>13335</v>
      </c>
      <c r="E424" t="s">
        <v>13336</v>
      </c>
      <c r="F424" t="s">
        <v>11130</v>
      </c>
      <c r="G424">
        <v>2001</v>
      </c>
      <c r="H424">
        <v>36946</v>
      </c>
      <c r="K424" t="s">
        <v>13337</v>
      </c>
    </row>
    <row r="425" spans="1:11" x14ac:dyDescent="0.15">
      <c r="A425">
        <v>12814647</v>
      </c>
      <c r="B425" t="s">
        <v>13338</v>
      </c>
      <c r="C425" t="s">
        <v>13339</v>
      </c>
      <c r="D425" t="s">
        <v>13340</v>
      </c>
      <c r="E425" t="s">
        <v>13341</v>
      </c>
      <c r="F425" t="s">
        <v>13342</v>
      </c>
      <c r="G425">
        <v>2003</v>
      </c>
      <c r="H425">
        <v>37792</v>
      </c>
      <c r="K425" t="s">
        <v>13343</v>
      </c>
    </row>
    <row r="426" spans="1:11" x14ac:dyDescent="0.15">
      <c r="A426">
        <v>22438260</v>
      </c>
      <c r="B426" t="s">
        <v>13344</v>
      </c>
      <c r="C426" t="s">
        <v>13345</v>
      </c>
      <c r="D426" t="s">
        <v>13346</v>
      </c>
      <c r="E426" t="s">
        <v>13347</v>
      </c>
      <c r="F426" t="s">
        <v>13348</v>
      </c>
      <c r="G426">
        <v>2012</v>
      </c>
      <c r="H426">
        <v>40991</v>
      </c>
      <c r="K426" t="s">
        <v>13349</v>
      </c>
    </row>
    <row r="427" spans="1:11" x14ac:dyDescent="0.15">
      <c r="A427">
        <v>9446579</v>
      </c>
      <c r="B427" t="s">
        <v>13350</v>
      </c>
      <c r="C427" t="s">
        <v>13351</v>
      </c>
      <c r="D427" t="s">
        <v>13352</v>
      </c>
      <c r="E427" t="s">
        <v>13353</v>
      </c>
      <c r="F427" t="s">
        <v>11800</v>
      </c>
      <c r="G427">
        <v>1998</v>
      </c>
      <c r="H427">
        <v>35854</v>
      </c>
      <c r="K427" t="s">
        <v>13354</v>
      </c>
    </row>
    <row r="428" spans="1:11" x14ac:dyDescent="0.15">
      <c r="A428">
        <v>8660406</v>
      </c>
      <c r="B428" t="s">
        <v>10630</v>
      </c>
      <c r="C428" t="s">
        <v>13355</v>
      </c>
      <c r="D428" t="s">
        <v>13356</v>
      </c>
      <c r="E428" t="s">
        <v>13357</v>
      </c>
      <c r="F428" t="s">
        <v>13358</v>
      </c>
      <c r="G428">
        <v>1996</v>
      </c>
      <c r="H428">
        <v>35247</v>
      </c>
      <c r="K428" t="s">
        <v>10639</v>
      </c>
    </row>
    <row r="429" spans="1:11" x14ac:dyDescent="0.15">
      <c r="A429">
        <v>11988182</v>
      </c>
      <c r="B429" t="s">
        <v>13359</v>
      </c>
      <c r="C429" t="s">
        <v>13360</v>
      </c>
      <c r="D429" t="s">
        <v>13361</v>
      </c>
      <c r="E429" t="s">
        <v>13362</v>
      </c>
      <c r="F429" t="s">
        <v>12205</v>
      </c>
      <c r="G429">
        <v>2002</v>
      </c>
      <c r="H429">
        <v>37380</v>
      </c>
      <c r="K429" t="s">
        <v>13363</v>
      </c>
    </row>
    <row r="430" spans="1:11" x14ac:dyDescent="0.15">
      <c r="A430">
        <v>8849358</v>
      </c>
      <c r="B430" t="s">
        <v>13364</v>
      </c>
      <c r="C430" t="s">
        <v>13365</v>
      </c>
      <c r="D430" t="s">
        <v>13366</v>
      </c>
      <c r="E430" t="s">
        <v>13367</v>
      </c>
      <c r="F430" t="s">
        <v>12891</v>
      </c>
      <c r="G430">
        <v>1995</v>
      </c>
      <c r="H430">
        <v>35034</v>
      </c>
      <c r="K430" t="s">
        <v>13368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735"/>
  <sheetViews>
    <sheetView workbookViewId="0">
      <selection activeCell="L32" sqref="L32"/>
    </sheetView>
  </sheetViews>
  <sheetFormatPr baseColWidth="10" defaultRowHeight="13" x14ac:dyDescent="0.15"/>
  <cols>
    <col min="1" max="1" width="8.83203125" customWidth="1"/>
  </cols>
  <sheetData>
    <row r="1" spans="1:16" x14ac:dyDescent="0.15">
      <c r="A1" t="s">
        <v>65</v>
      </c>
      <c r="B1" t="s">
        <v>11119</v>
      </c>
      <c r="E1">
        <v>33548389</v>
      </c>
      <c r="F1" t="s">
        <v>11119</v>
      </c>
      <c r="G1" t="s">
        <v>11120</v>
      </c>
      <c r="H1" t="s">
        <v>1</v>
      </c>
      <c r="I1" t="s">
        <v>56</v>
      </c>
      <c r="J1" t="s">
        <v>11121</v>
      </c>
      <c r="K1" t="s">
        <v>11122</v>
      </c>
      <c r="L1" t="s">
        <v>46</v>
      </c>
      <c r="M1" t="s">
        <v>11123</v>
      </c>
      <c r="N1" t="s">
        <v>11124</v>
      </c>
      <c r="O1" t="s">
        <v>11125</v>
      </c>
      <c r="P1" t="s">
        <v>11126</v>
      </c>
    </row>
    <row r="2" spans="1:16" x14ac:dyDescent="0.15">
      <c r="A2">
        <v>34065021</v>
      </c>
      <c r="B2">
        <v>30951670</v>
      </c>
      <c r="E2">
        <v>28875730</v>
      </c>
      <c r="F2">
        <v>33548389</v>
      </c>
      <c r="G2" t="s">
        <v>11133</v>
      </c>
      <c r="H2" t="s">
        <v>11134</v>
      </c>
      <c r="I2" t="s">
        <v>11140</v>
      </c>
      <c r="J2" t="s">
        <v>11135</v>
      </c>
      <c r="K2" t="s">
        <v>11136</v>
      </c>
      <c r="L2">
        <v>2021</v>
      </c>
      <c r="M2" t="s">
        <v>11137</v>
      </c>
      <c r="N2">
        <v>44233</v>
      </c>
      <c r="O2" t="s">
        <v>11138</v>
      </c>
      <c r="P2" t="s">
        <v>11139</v>
      </c>
    </row>
    <row r="3" spans="1:16" x14ac:dyDescent="0.15">
      <c r="A3">
        <v>35681723</v>
      </c>
      <c r="B3">
        <v>33355987</v>
      </c>
      <c r="E3">
        <v>34331845</v>
      </c>
      <c r="F3">
        <v>32457507</v>
      </c>
      <c r="G3" t="s">
        <v>11141</v>
      </c>
      <c r="H3" t="s">
        <v>11142</v>
      </c>
      <c r="I3" t="s">
        <v>11147</v>
      </c>
      <c r="J3" t="s">
        <v>11143</v>
      </c>
      <c r="K3" t="s">
        <v>11144</v>
      </c>
      <c r="L3">
        <v>2020</v>
      </c>
      <c r="M3" t="s">
        <v>11145</v>
      </c>
      <c r="N3">
        <v>43979</v>
      </c>
      <c r="O3" t="s">
        <v>11146</v>
      </c>
    </row>
    <row r="4" spans="1:16" x14ac:dyDescent="0.15">
      <c r="A4">
        <v>26126838</v>
      </c>
      <c r="B4">
        <v>32170015</v>
      </c>
      <c r="E4">
        <v>32685026</v>
      </c>
      <c r="F4">
        <v>28875730</v>
      </c>
      <c r="G4" t="s">
        <v>11148</v>
      </c>
      <c r="H4" t="s">
        <v>11149</v>
      </c>
      <c r="I4" t="s">
        <v>11155</v>
      </c>
      <c r="J4" t="s">
        <v>11150</v>
      </c>
      <c r="K4" t="s">
        <v>11151</v>
      </c>
      <c r="L4">
        <v>2017</v>
      </c>
      <c r="M4" t="s">
        <v>11152</v>
      </c>
      <c r="N4">
        <v>42985</v>
      </c>
      <c r="O4" t="s">
        <v>11153</v>
      </c>
      <c r="P4" t="s">
        <v>11154</v>
      </c>
    </row>
    <row r="5" spans="1:16" x14ac:dyDescent="0.15">
      <c r="A5">
        <v>33355987</v>
      </c>
      <c r="B5">
        <v>31799396</v>
      </c>
      <c r="E5">
        <v>31152821</v>
      </c>
      <c r="F5">
        <v>34331845</v>
      </c>
      <c r="G5" t="s">
        <v>11161</v>
      </c>
      <c r="H5" t="s">
        <v>11162</v>
      </c>
      <c r="I5" t="s">
        <v>11167</v>
      </c>
      <c r="J5" t="s">
        <v>11163</v>
      </c>
      <c r="K5" t="s">
        <v>11164</v>
      </c>
      <c r="L5">
        <v>2021</v>
      </c>
      <c r="M5" t="s">
        <v>11165</v>
      </c>
      <c r="N5">
        <v>44408</v>
      </c>
      <c r="O5" t="s">
        <v>11166</v>
      </c>
    </row>
    <row r="6" spans="1:16" x14ac:dyDescent="0.15">
      <c r="A6">
        <v>34103018</v>
      </c>
      <c r="B6">
        <v>29582582</v>
      </c>
      <c r="E6">
        <v>34672606</v>
      </c>
      <c r="F6">
        <v>32685026</v>
      </c>
      <c r="G6" t="s">
        <v>11168</v>
      </c>
      <c r="H6" t="s">
        <v>11169</v>
      </c>
      <c r="I6" t="s">
        <v>11174</v>
      </c>
      <c r="J6" t="s">
        <v>11170</v>
      </c>
      <c r="K6" t="s">
        <v>11171</v>
      </c>
      <c r="L6">
        <v>2020</v>
      </c>
      <c r="M6" t="s">
        <v>11172</v>
      </c>
      <c r="N6">
        <v>44033</v>
      </c>
      <c r="O6" t="s">
        <v>11173</v>
      </c>
    </row>
    <row r="7" spans="1:16" x14ac:dyDescent="0.15">
      <c r="A7">
        <v>32813249</v>
      </c>
      <c r="B7">
        <v>34453041</v>
      </c>
      <c r="E7">
        <v>29795272</v>
      </c>
      <c r="F7">
        <v>31666668</v>
      </c>
      <c r="G7" t="s">
        <v>11175</v>
      </c>
      <c r="H7" t="s">
        <v>11176</v>
      </c>
      <c r="I7" t="s">
        <v>11181</v>
      </c>
      <c r="J7" t="s">
        <v>11177</v>
      </c>
      <c r="K7" t="s">
        <v>11178</v>
      </c>
      <c r="L7">
        <v>2020</v>
      </c>
      <c r="M7" t="s">
        <v>11179</v>
      </c>
      <c r="N7">
        <v>43770</v>
      </c>
      <c r="O7" t="s">
        <v>11180</v>
      </c>
    </row>
    <row r="8" spans="1:16" x14ac:dyDescent="0.15">
      <c r="A8">
        <v>32551866</v>
      </c>
      <c r="B8">
        <v>30240661</v>
      </c>
      <c r="E8">
        <v>33783474</v>
      </c>
      <c r="F8">
        <v>31152821</v>
      </c>
      <c r="G8" t="s">
        <v>11182</v>
      </c>
      <c r="H8" t="s">
        <v>11183</v>
      </c>
      <c r="I8" t="s">
        <v>11189</v>
      </c>
      <c r="J8" t="s">
        <v>11184</v>
      </c>
      <c r="K8" t="s">
        <v>11185</v>
      </c>
      <c r="L8">
        <v>2019</v>
      </c>
      <c r="M8" t="s">
        <v>11186</v>
      </c>
      <c r="N8">
        <v>43618</v>
      </c>
      <c r="O8" t="s">
        <v>11187</v>
      </c>
      <c r="P8" t="s">
        <v>11188</v>
      </c>
    </row>
    <row r="9" spans="1:16" x14ac:dyDescent="0.15">
      <c r="A9">
        <v>26142461</v>
      </c>
      <c r="B9">
        <v>23663360</v>
      </c>
      <c r="E9">
        <v>31228184</v>
      </c>
      <c r="F9">
        <v>34672606</v>
      </c>
      <c r="G9" t="s">
        <v>11195</v>
      </c>
      <c r="H9" t="s">
        <v>11196</v>
      </c>
      <c r="I9" t="s">
        <v>11200</v>
      </c>
      <c r="J9" t="s">
        <v>11197</v>
      </c>
      <c r="K9" t="s">
        <v>11198</v>
      </c>
      <c r="L9">
        <v>2021</v>
      </c>
      <c r="M9" t="s">
        <v>11199</v>
      </c>
      <c r="N9">
        <v>44490</v>
      </c>
    </row>
    <row r="10" spans="1:16" x14ac:dyDescent="0.15">
      <c r="A10">
        <v>33420990</v>
      </c>
      <c r="B10">
        <v>23949796</v>
      </c>
      <c r="E10">
        <v>27882925</v>
      </c>
      <c r="F10">
        <v>29795272</v>
      </c>
      <c r="G10" t="s">
        <v>11201</v>
      </c>
      <c r="H10" t="s">
        <v>11202</v>
      </c>
      <c r="I10" t="s">
        <v>11206</v>
      </c>
      <c r="J10" t="s">
        <v>11203</v>
      </c>
      <c r="K10" t="s">
        <v>11204</v>
      </c>
      <c r="L10">
        <v>2018</v>
      </c>
      <c r="M10" t="s">
        <v>11205</v>
      </c>
      <c r="N10">
        <v>43246</v>
      </c>
    </row>
    <row r="11" spans="1:16" x14ac:dyDescent="0.15">
      <c r="A11">
        <v>23881452</v>
      </c>
      <c r="B11">
        <v>21098229</v>
      </c>
      <c r="E11">
        <v>34773243</v>
      </c>
      <c r="F11">
        <v>33783474</v>
      </c>
      <c r="G11" t="s">
        <v>11222</v>
      </c>
      <c r="H11" t="s">
        <v>11223</v>
      </c>
      <c r="I11" t="s">
        <v>11228</v>
      </c>
      <c r="J11" t="s">
        <v>11224</v>
      </c>
      <c r="K11" t="s">
        <v>11225</v>
      </c>
      <c r="L11">
        <v>2021</v>
      </c>
      <c r="M11" t="s">
        <v>11226</v>
      </c>
      <c r="N11">
        <v>44285</v>
      </c>
      <c r="O11" t="s">
        <v>11227</v>
      </c>
    </row>
    <row r="12" spans="1:16" x14ac:dyDescent="0.15">
      <c r="A12">
        <v>32441840</v>
      </c>
      <c r="B12">
        <v>32446697</v>
      </c>
      <c r="E12">
        <v>33666501</v>
      </c>
      <c r="F12">
        <v>29513618</v>
      </c>
      <c r="G12" t="s">
        <v>11235</v>
      </c>
      <c r="H12" t="s">
        <v>11236</v>
      </c>
      <c r="I12" t="s">
        <v>11241</v>
      </c>
      <c r="J12" t="s">
        <v>11237</v>
      </c>
      <c r="K12" t="s">
        <v>11238</v>
      </c>
      <c r="L12">
        <v>2018</v>
      </c>
      <c r="M12" t="s">
        <v>11239</v>
      </c>
      <c r="N12">
        <v>43167</v>
      </c>
      <c r="O12" t="s">
        <v>11240</v>
      </c>
    </row>
    <row r="13" spans="1:16" x14ac:dyDescent="0.15">
      <c r="A13">
        <v>28117819</v>
      </c>
      <c r="B13">
        <v>33945510</v>
      </c>
      <c r="E13">
        <v>33137926</v>
      </c>
      <c r="F13">
        <v>31228184</v>
      </c>
      <c r="G13" t="s">
        <v>11242</v>
      </c>
      <c r="H13" t="s">
        <v>11243</v>
      </c>
      <c r="I13" t="s">
        <v>11246</v>
      </c>
      <c r="J13" t="s">
        <v>11244</v>
      </c>
      <c r="K13" t="s">
        <v>11245</v>
      </c>
      <c r="L13">
        <v>2019</v>
      </c>
      <c r="M13" t="s">
        <v>11137</v>
      </c>
      <c r="N13">
        <v>43639</v>
      </c>
    </row>
    <row r="14" spans="1:16" x14ac:dyDescent="0.15">
      <c r="A14">
        <v>27305142</v>
      </c>
      <c r="B14">
        <v>32929219</v>
      </c>
      <c r="E14">
        <v>32903777</v>
      </c>
      <c r="F14">
        <v>27882925</v>
      </c>
      <c r="G14" t="s">
        <v>11247</v>
      </c>
      <c r="H14" t="s">
        <v>11248</v>
      </c>
      <c r="I14" t="s">
        <v>11253</v>
      </c>
      <c r="J14" t="s">
        <v>11249</v>
      </c>
      <c r="K14" t="s">
        <v>11250</v>
      </c>
      <c r="L14">
        <v>2016</v>
      </c>
      <c r="M14" t="s">
        <v>11251</v>
      </c>
      <c r="N14">
        <v>42699</v>
      </c>
      <c r="O14" t="s">
        <v>11252</v>
      </c>
    </row>
    <row r="15" spans="1:16" x14ac:dyDescent="0.15">
      <c r="A15">
        <v>25820722</v>
      </c>
      <c r="B15">
        <v>34158841</v>
      </c>
      <c r="E15">
        <v>32781015</v>
      </c>
      <c r="F15">
        <v>34388259</v>
      </c>
      <c r="G15" t="s">
        <v>11254</v>
      </c>
      <c r="H15" t="s">
        <v>11255</v>
      </c>
      <c r="I15" t="s">
        <v>11260</v>
      </c>
      <c r="J15" t="s">
        <v>11256</v>
      </c>
      <c r="K15" t="s">
        <v>11257</v>
      </c>
      <c r="L15">
        <v>2022</v>
      </c>
      <c r="M15" t="s">
        <v>11258</v>
      </c>
      <c r="N15">
        <v>44421</v>
      </c>
      <c r="O15" t="s">
        <v>11259</v>
      </c>
    </row>
    <row r="16" spans="1:16" x14ac:dyDescent="0.15">
      <c r="A16">
        <v>34178690</v>
      </c>
      <c r="B16">
        <v>34160815</v>
      </c>
      <c r="E16">
        <v>26369507</v>
      </c>
      <c r="F16">
        <v>29556344</v>
      </c>
      <c r="G16" t="s">
        <v>11272</v>
      </c>
      <c r="H16" t="s">
        <v>11273</v>
      </c>
      <c r="I16" t="s">
        <v>11277</v>
      </c>
      <c r="J16" t="s">
        <v>11274</v>
      </c>
      <c r="K16" t="s">
        <v>11275</v>
      </c>
      <c r="L16">
        <v>2018</v>
      </c>
      <c r="M16" t="s">
        <v>11172</v>
      </c>
      <c r="N16">
        <v>43180</v>
      </c>
      <c r="O16" t="s">
        <v>11276</v>
      </c>
    </row>
    <row r="17" spans="1:16" x14ac:dyDescent="0.15">
      <c r="A17">
        <v>31091653</v>
      </c>
      <c r="B17">
        <v>21049390</v>
      </c>
      <c r="E17">
        <v>31891869</v>
      </c>
      <c r="F17">
        <v>21430775</v>
      </c>
      <c r="G17" t="s">
        <v>11291</v>
      </c>
      <c r="H17" t="s">
        <v>11292</v>
      </c>
      <c r="I17" t="s">
        <v>11298</v>
      </c>
      <c r="J17" t="s">
        <v>11293</v>
      </c>
      <c r="K17" t="s">
        <v>11294</v>
      </c>
      <c r="L17">
        <v>2011</v>
      </c>
      <c r="M17" t="s">
        <v>11295</v>
      </c>
      <c r="N17">
        <v>40627</v>
      </c>
      <c r="O17" t="s">
        <v>11296</v>
      </c>
      <c r="P17" t="s">
        <v>11297</v>
      </c>
    </row>
    <row r="18" spans="1:16" x14ac:dyDescent="0.15">
      <c r="A18">
        <v>28671449</v>
      </c>
      <c r="B18">
        <v>33420990</v>
      </c>
      <c r="E18">
        <v>31631581</v>
      </c>
      <c r="F18">
        <v>34773243</v>
      </c>
      <c r="G18" t="s">
        <v>11308</v>
      </c>
      <c r="H18" t="s">
        <v>11309</v>
      </c>
      <c r="I18" t="s">
        <v>11313</v>
      </c>
      <c r="J18" t="s">
        <v>11310</v>
      </c>
      <c r="K18" t="s">
        <v>11311</v>
      </c>
      <c r="L18">
        <v>2022</v>
      </c>
      <c r="M18" t="s">
        <v>11312</v>
      </c>
      <c r="N18">
        <v>44513</v>
      </c>
    </row>
    <row r="19" spans="1:16" x14ac:dyDescent="0.15">
      <c r="A19">
        <v>33670900</v>
      </c>
      <c r="B19">
        <v>33918465</v>
      </c>
      <c r="E19">
        <v>31937439</v>
      </c>
      <c r="F19">
        <v>29668342</v>
      </c>
      <c r="G19" t="s">
        <v>11318</v>
      </c>
      <c r="H19" t="s">
        <v>11319</v>
      </c>
      <c r="I19" t="s">
        <v>11323</v>
      </c>
      <c r="J19" t="s">
        <v>11320</v>
      </c>
      <c r="K19" t="s">
        <v>11321</v>
      </c>
      <c r="L19">
        <v>2018</v>
      </c>
      <c r="M19" t="s">
        <v>11322</v>
      </c>
      <c r="N19">
        <v>43209</v>
      </c>
    </row>
    <row r="20" spans="1:16" x14ac:dyDescent="0.15">
      <c r="A20">
        <v>33575258</v>
      </c>
      <c r="B20">
        <v>32980480</v>
      </c>
      <c r="E20">
        <v>26133463</v>
      </c>
      <c r="F20">
        <v>33666501</v>
      </c>
      <c r="G20" t="s">
        <v>11324</v>
      </c>
      <c r="H20" t="s">
        <v>11325</v>
      </c>
      <c r="I20" t="s">
        <v>11330</v>
      </c>
      <c r="J20" t="s">
        <v>11326</v>
      </c>
      <c r="K20" t="s">
        <v>11327</v>
      </c>
      <c r="L20">
        <v>2021</v>
      </c>
      <c r="M20" t="s">
        <v>11328</v>
      </c>
      <c r="N20">
        <v>44260</v>
      </c>
      <c r="O20" t="s">
        <v>11329</v>
      </c>
    </row>
    <row r="21" spans="1:16" x14ac:dyDescent="0.15">
      <c r="A21">
        <v>32782600</v>
      </c>
      <c r="B21">
        <v>34454680</v>
      </c>
      <c r="E21">
        <v>26452221</v>
      </c>
      <c r="F21">
        <v>33137926</v>
      </c>
      <c r="G21" t="s">
        <v>11339</v>
      </c>
      <c r="H21" t="s">
        <v>11340</v>
      </c>
      <c r="I21" t="s">
        <v>11345</v>
      </c>
      <c r="J21" t="s">
        <v>11341</v>
      </c>
      <c r="K21" t="s">
        <v>11342</v>
      </c>
      <c r="L21">
        <v>2020</v>
      </c>
      <c r="M21" t="s">
        <v>11343</v>
      </c>
      <c r="N21">
        <v>44138</v>
      </c>
      <c r="O21" t="s">
        <v>11344</v>
      </c>
    </row>
    <row r="22" spans="1:16" x14ac:dyDescent="0.15">
      <c r="A22">
        <v>30415264</v>
      </c>
      <c r="B22">
        <v>34080172</v>
      </c>
      <c r="E22">
        <v>30835829</v>
      </c>
      <c r="F22">
        <v>32903777</v>
      </c>
      <c r="G22" t="s">
        <v>11346</v>
      </c>
      <c r="H22" t="s">
        <v>11347</v>
      </c>
      <c r="I22" t="s">
        <v>11352</v>
      </c>
      <c r="J22" t="s">
        <v>11348</v>
      </c>
      <c r="K22" t="s">
        <v>11349</v>
      </c>
      <c r="L22">
        <v>2020</v>
      </c>
      <c r="M22" t="s">
        <v>11350</v>
      </c>
      <c r="N22">
        <v>44083</v>
      </c>
      <c r="O22" t="s">
        <v>11351</v>
      </c>
    </row>
    <row r="23" spans="1:16" x14ac:dyDescent="0.15">
      <c r="A23">
        <v>24398677</v>
      </c>
      <c r="B23">
        <v>31475741</v>
      </c>
      <c r="E23">
        <v>30538124</v>
      </c>
      <c r="F23">
        <v>32781015</v>
      </c>
      <c r="G23" t="s">
        <v>11357</v>
      </c>
      <c r="H23" t="s">
        <v>11358</v>
      </c>
      <c r="I23" t="s">
        <v>11362</v>
      </c>
      <c r="J23" t="s">
        <v>11359</v>
      </c>
      <c r="K23" t="s">
        <v>11360</v>
      </c>
      <c r="L23">
        <v>2020</v>
      </c>
      <c r="M23" t="s">
        <v>11361</v>
      </c>
      <c r="N23">
        <v>44055</v>
      </c>
    </row>
    <row r="24" spans="1:16" x14ac:dyDescent="0.15">
      <c r="A24">
        <v>31191831</v>
      </c>
      <c r="B24">
        <v>29374476</v>
      </c>
      <c r="E24">
        <v>29520561</v>
      </c>
      <c r="F24">
        <v>31828924</v>
      </c>
      <c r="G24" t="s">
        <v>11363</v>
      </c>
      <c r="H24" t="s">
        <v>11364</v>
      </c>
      <c r="I24" t="s">
        <v>11370</v>
      </c>
      <c r="J24" t="s">
        <v>11365</v>
      </c>
      <c r="K24" t="s">
        <v>11366</v>
      </c>
      <c r="L24">
        <v>2020</v>
      </c>
      <c r="M24" t="s">
        <v>11367</v>
      </c>
      <c r="N24">
        <v>43812</v>
      </c>
      <c r="O24" t="s">
        <v>11368</v>
      </c>
      <c r="P24" t="s">
        <v>11369</v>
      </c>
    </row>
    <row r="25" spans="1:16" x14ac:dyDescent="0.15">
      <c r="A25">
        <v>31684971</v>
      </c>
      <c r="B25">
        <v>33769802</v>
      </c>
      <c r="E25">
        <v>32593407</v>
      </c>
      <c r="F25">
        <v>32231660</v>
      </c>
      <c r="G25" t="s">
        <v>11371</v>
      </c>
      <c r="H25" t="s">
        <v>11372</v>
      </c>
      <c r="I25" t="s">
        <v>11376</v>
      </c>
      <c r="J25" t="s">
        <v>11373</v>
      </c>
      <c r="K25" t="s">
        <v>11374</v>
      </c>
      <c r="L25">
        <v>2020</v>
      </c>
      <c r="M25" t="s">
        <v>11350</v>
      </c>
      <c r="N25">
        <v>43923</v>
      </c>
      <c r="O25" t="s">
        <v>11375</v>
      </c>
    </row>
    <row r="26" spans="1:16" x14ac:dyDescent="0.15">
      <c r="A26">
        <v>33016114</v>
      </c>
      <c r="B26">
        <v>34528938</v>
      </c>
      <c r="E26">
        <v>30697216</v>
      </c>
      <c r="F26">
        <v>26369507</v>
      </c>
      <c r="G26" t="s">
        <v>11377</v>
      </c>
      <c r="H26" t="s">
        <v>11378</v>
      </c>
      <c r="I26" t="s">
        <v>11382</v>
      </c>
      <c r="J26" t="s">
        <v>11379</v>
      </c>
      <c r="K26" t="s">
        <v>11380</v>
      </c>
      <c r="L26">
        <v>2015</v>
      </c>
      <c r="M26" t="s">
        <v>11381</v>
      </c>
      <c r="N26">
        <v>42263</v>
      </c>
    </row>
    <row r="27" spans="1:16" x14ac:dyDescent="0.15">
      <c r="A27">
        <v>34158841</v>
      </c>
      <c r="B27">
        <v>34234173</v>
      </c>
      <c r="E27">
        <v>23505015</v>
      </c>
      <c r="F27">
        <v>29904278</v>
      </c>
      <c r="G27" t="s">
        <v>11383</v>
      </c>
      <c r="H27" t="s">
        <v>11384</v>
      </c>
      <c r="I27" t="s">
        <v>11389</v>
      </c>
      <c r="J27" t="s">
        <v>11385</v>
      </c>
      <c r="K27" t="s">
        <v>11386</v>
      </c>
      <c r="L27">
        <v>2018</v>
      </c>
      <c r="M27" t="s">
        <v>11387</v>
      </c>
      <c r="N27">
        <v>43267</v>
      </c>
      <c r="O27" t="s">
        <v>11388</v>
      </c>
    </row>
    <row r="28" spans="1:16" x14ac:dyDescent="0.15">
      <c r="A28">
        <v>32603406</v>
      </c>
      <c r="B28">
        <v>32968935</v>
      </c>
      <c r="E28">
        <v>31740445</v>
      </c>
      <c r="F28">
        <v>32067543</v>
      </c>
      <c r="G28" t="s">
        <v>11400</v>
      </c>
      <c r="H28" t="s">
        <v>11401</v>
      </c>
      <c r="I28" t="s">
        <v>11406</v>
      </c>
      <c r="J28" t="s">
        <v>11402</v>
      </c>
      <c r="K28" t="s">
        <v>11403</v>
      </c>
      <c r="L28">
        <v>2020</v>
      </c>
      <c r="M28" t="s">
        <v>11152</v>
      </c>
      <c r="N28">
        <v>43880</v>
      </c>
      <c r="O28" t="s">
        <v>11404</v>
      </c>
      <c r="P28" t="s">
        <v>11405</v>
      </c>
    </row>
    <row r="29" spans="1:16" x14ac:dyDescent="0.15">
      <c r="A29">
        <v>33643547</v>
      </c>
      <c r="B29">
        <v>31017799</v>
      </c>
      <c r="E29">
        <v>27206554</v>
      </c>
      <c r="F29">
        <v>33565967</v>
      </c>
      <c r="G29" t="s">
        <v>11410</v>
      </c>
      <c r="H29" t="s">
        <v>11411</v>
      </c>
      <c r="I29" t="s">
        <v>11415</v>
      </c>
      <c r="J29" t="s">
        <v>11412</v>
      </c>
      <c r="K29" t="s">
        <v>11413</v>
      </c>
      <c r="L29">
        <v>2020</v>
      </c>
      <c r="M29" t="s">
        <v>11414</v>
      </c>
      <c r="N29">
        <v>44237</v>
      </c>
    </row>
    <row r="30" spans="1:16" x14ac:dyDescent="0.15">
      <c r="A30">
        <v>31153869</v>
      </c>
      <c r="B30">
        <v>33580122</v>
      </c>
      <c r="E30">
        <v>28676332</v>
      </c>
      <c r="F30">
        <v>31891869</v>
      </c>
      <c r="G30" t="s">
        <v>11425</v>
      </c>
      <c r="H30" t="s">
        <v>11426</v>
      </c>
      <c r="I30" t="s">
        <v>11430</v>
      </c>
      <c r="J30" t="s">
        <v>11427</v>
      </c>
      <c r="K30" t="s">
        <v>11428</v>
      </c>
      <c r="L30">
        <v>2020</v>
      </c>
      <c r="M30" t="s">
        <v>11429</v>
      </c>
      <c r="N30">
        <v>43831</v>
      </c>
    </row>
    <row r="31" spans="1:16" x14ac:dyDescent="0.15">
      <c r="A31">
        <v>33915956</v>
      </c>
      <c r="B31">
        <v>34127763</v>
      </c>
      <c r="E31">
        <v>24909737</v>
      </c>
      <c r="F31">
        <v>28833502</v>
      </c>
      <c r="G31" t="s">
        <v>11431</v>
      </c>
      <c r="H31" t="s">
        <v>11432</v>
      </c>
      <c r="I31" t="s">
        <v>11436</v>
      </c>
      <c r="J31" t="s">
        <v>11433</v>
      </c>
      <c r="K31" t="s">
        <v>11434</v>
      </c>
      <c r="L31">
        <v>2018</v>
      </c>
      <c r="M31" t="s">
        <v>11435</v>
      </c>
      <c r="N31">
        <v>42971</v>
      </c>
    </row>
    <row r="32" spans="1:16" x14ac:dyDescent="0.15">
      <c r="A32">
        <v>34868914</v>
      </c>
      <c r="B32">
        <v>33420117</v>
      </c>
      <c r="E32">
        <v>30451032</v>
      </c>
      <c r="F32">
        <v>32766689</v>
      </c>
      <c r="G32" t="s">
        <v>11437</v>
      </c>
      <c r="H32" t="s">
        <v>11438</v>
      </c>
      <c r="I32" t="s">
        <v>11443</v>
      </c>
      <c r="J32" t="s">
        <v>11439</v>
      </c>
      <c r="K32" t="s">
        <v>11440</v>
      </c>
      <c r="L32">
        <v>2020</v>
      </c>
      <c r="M32" t="s">
        <v>11441</v>
      </c>
      <c r="N32">
        <v>44052</v>
      </c>
      <c r="O32" t="s">
        <v>11442</v>
      </c>
    </row>
    <row r="33" spans="1:15" x14ac:dyDescent="0.15">
      <c r="A33">
        <v>33562158</v>
      </c>
      <c r="B33">
        <v>34595842</v>
      </c>
      <c r="E33">
        <v>30242641</v>
      </c>
      <c r="F33">
        <v>31631581</v>
      </c>
      <c r="G33" t="s">
        <v>11444</v>
      </c>
      <c r="H33" t="s">
        <v>11445</v>
      </c>
      <c r="I33" t="s">
        <v>11449</v>
      </c>
      <c r="J33" t="s">
        <v>11446</v>
      </c>
      <c r="K33" t="s">
        <v>11447</v>
      </c>
      <c r="L33">
        <v>2020</v>
      </c>
      <c r="M33" t="s">
        <v>11448</v>
      </c>
      <c r="N33">
        <v>43760</v>
      </c>
    </row>
    <row r="34" spans="1:15" x14ac:dyDescent="0.15">
      <c r="A34">
        <v>21196075</v>
      </c>
      <c r="B34">
        <v>30236130</v>
      </c>
      <c r="E34">
        <v>31646316</v>
      </c>
      <c r="F34">
        <v>32442760</v>
      </c>
      <c r="G34" t="s">
        <v>4949</v>
      </c>
      <c r="H34" t="s">
        <v>11454</v>
      </c>
      <c r="I34" t="s">
        <v>11458</v>
      </c>
      <c r="J34" t="s">
        <v>11455</v>
      </c>
      <c r="K34" t="s">
        <v>11456</v>
      </c>
      <c r="L34">
        <v>2020</v>
      </c>
      <c r="M34" t="s">
        <v>11457</v>
      </c>
      <c r="N34">
        <v>43974</v>
      </c>
    </row>
    <row r="35" spans="1:15" x14ac:dyDescent="0.15">
      <c r="A35">
        <v>20428099</v>
      </c>
      <c r="B35">
        <v>33643547</v>
      </c>
      <c r="E35">
        <v>31882820</v>
      </c>
      <c r="F35">
        <v>31937439</v>
      </c>
      <c r="G35" t="s">
        <v>11468</v>
      </c>
      <c r="H35" t="s">
        <v>11469</v>
      </c>
      <c r="I35" t="s">
        <v>11473</v>
      </c>
      <c r="J35" t="s">
        <v>11470</v>
      </c>
      <c r="K35" t="s">
        <v>11471</v>
      </c>
      <c r="L35">
        <v>2020</v>
      </c>
      <c r="M35" t="s">
        <v>11472</v>
      </c>
      <c r="N35">
        <v>43846</v>
      </c>
    </row>
    <row r="36" spans="1:15" x14ac:dyDescent="0.15">
      <c r="A36">
        <v>32341768</v>
      </c>
      <c r="B36">
        <v>33850235</v>
      </c>
      <c r="E36">
        <v>27191915</v>
      </c>
      <c r="F36">
        <v>26133463</v>
      </c>
      <c r="G36" t="s">
        <v>11478</v>
      </c>
      <c r="H36" t="s">
        <v>11479</v>
      </c>
      <c r="I36" t="s">
        <v>11483</v>
      </c>
      <c r="J36" t="s">
        <v>11480</v>
      </c>
      <c r="K36" t="s">
        <v>11481</v>
      </c>
      <c r="L36">
        <v>2015</v>
      </c>
      <c r="M36" t="s">
        <v>11482</v>
      </c>
      <c r="N36">
        <v>42188</v>
      </c>
    </row>
    <row r="37" spans="1:15" x14ac:dyDescent="0.15">
      <c r="A37">
        <v>32580578</v>
      </c>
      <c r="B37">
        <v>32162067</v>
      </c>
      <c r="E37">
        <v>34060032</v>
      </c>
      <c r="F37">
        <v>32219336</v>
      </c>
      <c r="G37" t="s">
        <v>11484</v>
      </c>
      <c r="H37" t="s">
        <v>11485</v>
      </c>
      <c r="I37" t="s">
        <v>11489</v>
      </c>
      <c r="J37" t="s">
        <v>11486</v>
      </c>
      <c r="K37" t="s">
        <v>11487</v>
      </c>
      <c r="L37">
        <v>2020</v>
      </c>
      <c r="M37" t="s">
        <v>11488</v>
      </c>
      <c r="N37">
        <v>43919</v>
      </c>
    </row>
    <row r="38" spans="1:15" x14ac:dyDescent="0.15">
      <c r="A38">
        <v>34471367</v>
      </c>
      <c r="B38">
        <v>34681030</v>
      </c>
      <c r="E38">
        <v>26238497</v>
      </c>
      <c r="F38">
        <v>31263077</v>
      </c>
      <c r="G38" t="s">
        <v>11495</v>
      </c>
      <c r="H38" t="s">
        <v>11496</v>
      </c>
      <c r="I38" t="s">
        <v>11501</v>
      </c>
      <c r="J38" t="s">
        <v>11497</v>
      </c>
      <c r="K38" t="s">
        <v>11498</v>
      </c>
      <c r="L38">
        <v>2019</v>
      </c>
      <c r="M38" t="s">
        <v>11499</v>
      </c>
      <c r="N38">
        <v>43649</v>
      </c>
      <c r="O38" t="s">
        <v>11500</v>
      </c>
    </row>
    <row r="39" spans="1:15" x14ac:dyDescent="0.15">
      <c r="A39">
        <v>31198995</v>
      </c>
      <c r="B39">
        <v>25472905</v>
      </c>
      <c r="E39">
        <v>21318413</v>
      </c>
      <c r="F39">
        <v>26452221</v>
      </c>
      <c r="G39" t="s">
        <v>11515</v>
      </c>
      <c r="H39" t="s">
        <v>11516</v>
      </c>
      <c r="I39" t="s">
        <v>11521</v>
      </c>
      <c r="J39" t="s">
        <v>11517</v>
      </c>
      <c r="K39" t="s">
        <v>11518</v>
      </c>
      <c r="L39">
        <v>2015</v>
      </c>
      <c r="M39" t="s">
        <v>11519</v>
      </c>
      <c r="N39">
        <v>42287</v>
      </c>
      <c r="O39" t="s">
        <v>11520</v>
      </c>
    </row>
    <row r="40" spans="1:15" x14ac:dyDescent="0.15">
      <c r="A40">
        <v>31608222</v>
      </c>
      <c r="B40">
        <v>31547130</v>
      </c>
      <c r="E40">
        <v>33798333</v>
      </c>
      <c r="F40">
        <v>30835829</v>
      </c>
      <c r="G40" t="s">
        <v>11540</v>
      </c>
      <c r="H40" t="s">
        <v>11541</v>
      </c>
      <c r="I40" t="s">
        <v>11544</v>
      </c>
      <c r="J40" t="s">
        <v>11542</v>
      </c>
      <c r="K40" t="s">
        <v>11543</v>
      </c>
      <c r="L40">
        <v>2019</v>
      </c>
      <c r="M40" t="s">
        <v>11258</v>
      </c>
      <c r="N40">
        <v>43530</v>
      </c>
    </row>
    <row r="41" spans="1:15" x14ac:dyDescent="0.15">
      <c r="A41">
        <v>34514028</v>
      </c>
      <c r="B41">
        <v>31198995</v>
      </c>
      <c r="E41">
        <v>30467990</v>
      </c>
      <c r="F41">
        <v>30699987</v>
      </c>
      <c r="G41" t="s">
        <v>11549</v>
      </c>
      <c r="H41" t="s">
        <v>11550</v>
      </c>
      <c r="I41" t="s">
        <v>11555</v>
      </c>
      <c r="J41" t="s">
        <v>11551</v>
      </c>
      <c r="K41" t="s">
        <v>11552</v>
      </c>
      <c r="L41">
        <v>2019</v>
      </c>
      <c r="M41" t="s">
        <v>11553</v>
      </c>
      <c r="N41">
        <v>43497</v>
      </c>
      <c r="O41" t="s">
        <v>11554</v>
      </c>
    </row>
    <row r="42" spans="1:15" x14ac:dyDescent="0.15">
      <c r="A42">
        <v>32065171</v>
      </c>
      <c r="B42">
        <v>33597619</v>
      </c>
      <c r="E42">
        <v>29701682</v>
      </c>
      <c r="F42">
        <v>30538124</v>
      </c>
      <c r="G42" t="s">
        <v>11565</v>
      </c>
      <c r="H42" t="s">
        <v>11566</v>
      </c>
      <c r="I42" t="s">
        <v>11570</v>
      </c>
      <c r="J42" t="s">
        <v>11567</v>
      </c>
      <c r="K42" t="s">
        <v>11568</v>
      </c>
      <c r="L42">
        <v>2019</v>
      </c>
      <c r="M42" t="s">
        <v>11569</v>
      </c>
      <c r="N42">
        <v>43447</v>
      </c>
    </row>
    <row r="43" spans="1:15" x14ac:dyDescent="0.15">
      <c r="A43">
        <v>29971917</v>
      </c>
      <c r="B43">
        <v>34454177</v>
      </c>
      <c r="E43">
        <v>27293190</v>
      </c>
      <c r="F43">
        <v>29520561</v>
      </c>
      <c r="G43" t="s">
        <v>11571</v>
      </c>
      <c r="H43" t="s">
        <v>11572</v>
      </c>
      <c r="I43" t="s">
        <v>11576</v>
      </c>
      <c r="J43" t="s">
        <v>11573</v>
      </c>
      <c r="K43" t="s">
        <v>11574</v>
      </c>
      <c r="L43">
        <v>2018</v>
      </c>
      <c r="M43" t="s">
        <v>11575</v>
      </c>
      <c r="N43">
        <v>43169</v>
      </c>
    </row>
    <row r="44" spans="1:15" x14ac:dyDescent="0.15">
      <c r="A44">
        <v>33436002</v>
      </c>
      <c r="B44">
        <v>31596073</v>
      </c>
      <c r="E44">
        <v>34135428</v>
      </c>
      <c r="F44">
        <v>32593407</v>
      </c>
      <c r="G44" t="s">
        <v>11577</v>
      </c>
      <c r="H44" t="s">
        <v>11578</v>
      </c>
      <c r="I44" t="s">
        <v>11582</v>
      </c>
      <c r="J44" t="s">
        <v>11579</v>
      </c>
      <c r="K44" t="s">
        <v>11580</v>
      </c>
      <c r="L44">
        <v>2020</v>
      </c>
      <c r="M44" t="s">
        <v>11581</v>
      </c>
      <c r="N44">
        <v>44011</v>
      </c>
    </row>
    <row r="45" spans="1:15" x14ac:dyDescent="0.15">
      <c r="A45">
        <v>33921829</v>
      </c>
      <c r="B45">
        <v>33160816</v>
      </c>
      <c r="E45">
        <v>26973197</v>
      </c>
      <c r="F45">
        <v>30697216</v>
      </c>
      <c r="G45" t="s">
        <v>11583</v>
      </c>
      <c r="H45" t="s">
        <v>11584</v>
      </c>
      <c r="I45" t="s">
        <v>11588</v>
      </c>
      <c r="J45" t="s">
        <v>11585</v>
      </c>
      <c r="K45" t="s">
        <v>11586</v>
      </c>
      <c r="L45">
        <v>2019</v>
      </c>
      <c r="M45" t="s">
        <v>11350</v>
      </c>
      <c r="N45">
        <v>43496</v>
      </c>
      <c r="O45" t="s">
        <v>11587</v>
      </c>
    </row>
    <row r="46" spans="1:15" x14ac:dyDescent="0.15">
      <c r="A46">
        <v>28433888</v>
      </c>
      <c r="B46">
        <v>30703330</v>
      </c>
      <c r="E46">
        <v>31581745</v>
      </c>
      <c r="F46">
        <v>23505015</v>
      </c>
      <c r="G46" t="s">
        <v>11589</v>
      </c>
      <c r="H46" t="s">
        <v>11590</v>
      </c>
      <c r="I46" t="s">
        <v>11594</v>
      </c>
      <c r="J46" t="s">
        <v>11591</v>
      </c>
      <c r="K46" t="s">
        <v>11592</v>
      </c>
      <c r="L46">
        <v>2013</v>
      </c>
      <c r="M46" t="s">
        <v>11593</v>
      </c>
      <c r="N46">
        <v>41352</v>
      </c>
    </row>
    <row r="47" spans="1:15" x14ac:dyDescent="0.15">
      <c r="A47">
        <v>35444613</v>
      </c>
      <c r="B47">
        <v>30604797</v>
      </c>
      <c r="E47">
        <v>29051321</v>
      </c>
      <c r="F47">
        <v>32934287</v>
      </c>
      <c r="G47" t="s">
        <v>11600</v>
      </c>
      <c r="H47" t="s">
        <v>11601</v>
      </c>
      <c r="I47" t="s">
        <v>11605</v>
      </c>
      <c r="J47" t="s">
        <v>11602</v>
      </c>
      <c r="K47" t="s">
        <v>11603</v>
      </c>
      <c r="L47">
        <v>2020</v>
      </c>
      <c r="M47" t="s">
        <v>11466</v>
      </c>
      <c r="N47">
        <v>44090</v>
      </c>
      <c r="O47" t="s">
        <v>11604</v>
      </c>
    </row>
    <row r="48" spans="1:15" x14ac:dyDescent="0.15">
      <c r="A48">
        <v>27363026</v>
      </c>
      <c r="B48">
        <v>33756122</v>
      </c>
      <c r="E48">
        <v>35467282</v>
      </c>
      <c r="F48">
        <v>33270495</v>
      </c>
      <c r="G48" t="s">
        <v>11606</v>
      </c>
      <c r="H48" t="s">
        <v>11607</v>
      </c>
      <c r="I48" t="s">
        <v>11610</v>
      </c>
      <c r="J48" t="s">
        <v>11608</v>
      </c>
      <c r="K48" t="s">
        <v>11609</v>
      </c>
      <c r="L48">
        <v>2021</v>
      </c>
      <c r="M48" t="s">
        <v>11152</v>
      </c>
      <c r="N48">
        <v>44168</v>
      </c>
    </row>
    <row r="49" spans="1:16" x14ac:dyDescent="0.15">
      <c r="A49">
        <v>32978468</v>
      </c>
      <c r="B49">
        <v>34811396</v>
      </c>
      <c r="E49">
        <v>34229724</v>
      </c>
      <c r="F49">
        <v>31740445</v>
      </c>
      <c r="G49" t="s">
        <v>11611</v>
      </c>
      <c r="H49" t="s">
        <v>11612</v>
      </c>
      <c r="I49" t="s">
        <v>3917</v>
      </c>
      <c r="J49" t="s">
        <v>11613</v>
      </c>
      <c r="K49" t="s">
        <v>11614</v>
      </c>
      <c r="L49">
        <v>2020</v>
      </c>
      <c r="M49" t="s">
        <v>11615</v>
      </c>
      <c r="N49">
        <v>43789</v>
      </c>
      <c r="O49" t="s">
        <v>11616</v>
      </c>
    </row>
    <row r="50" spans="1:16" x14ac:dyDescent="0.15">
      <c r="A50">
        <v>30595972</v>
      </c>
      <c r="B50">
        <v>30915846</v>
      </c>
      <c r="E50">
        <v>32020194</v>
      </c>
      <c r="F50">
        <v>32134270</v>
      </c>
      <c r="G50" t="s">
        <v>11621</v>
      </c>
      <c r="H50" t="s">
        <v>11622</v>
      </c>
      <c r="I50" t="s">
        <v>11626</v>
      </c>
      <c r="J50" t="s">
        <v>11623</v>
      </c>
      <c r="K50" t="s">
        <v>11624</v>
      </c>
      <c r="L50">
        <v>2020</v>
      </c>
      <c r="M50" t="s">
        <v>11625</v>
      </c>
      <c r="N50">
        <v>43896</v>
      </c>
    </row>
    <row r="51" spans="1:16" x14ac:dyDescent="0.15">
      <c r="A51">
        <v>34900671</v>
      </c>
      <c r="B51">
        <v>32269293</v>
      </c>
      <c r="E51">
        <v>32471033</v>
      </c>
      <c r="F51">
        <v>27206554</v>
      </c>
      <c r="G51" t="s">
        <v>11627</v>
      </c>
      <c r="H51" t="s">
        <v>11628</v>
      </c>
      <c r="I51" t="s">
        <v>11631</v>
      </c>
      <c r="J51" t="s">
        <v>11629</v>
      </c>
      <c r="K51" t="s">
        <v>11630</v>
      </c>
      <c r="L51">
        <v>2016</v>
      </c>
      <c r="M51" t="s">
        <v>11152</v>
      </c>
      <c r="N51">
        <v>42512</v>
      </c>
    </row>
    <row r="52" spans="1:16" x14ac:dyDescent="0.15">
      <c r="A52">
        <v>26918437</v>
      </c>
      <c r="B52">
        <v>29750752</v>
      </c>
      <c r="E52">
        <v>31143191</v>
      </c>
      <c r="F52">
        <v>24580550</v>
      </c>
      <c r="G52" t="s">
        <v>11640</v>
      </c>
      <c r="H52" t="s">
        <v>11641</v>
      </c>
      <c r="I52" t="s">
        <v>11645</v>
      </c>
      <c r="J52" t="s">
        <v>11642</v>
      </c>
      <c r="K52" t="s">
        <v>11643</v>
      </c>
      <c r="L52">
        <v>2014</v>
      </c>
      <c r="M52" t="s">
        <v>11644</v>
      </c>
      <c r="N52">
        <v>41702</v>
      </c>
    </row>
    <row r="53" spans="1:16" x14ac:dyDescent="0.15">
      <c r="A53">
        <v>23580760</v>
      </c>
      <c r="B53">
        <v>33217521</v>
      </c>
      <c r="E53">
        <v>2655710</v>
      </c>
      <c r="F53">
        <v>34288927</v>
      </c>
      <c r="G53" t="s">
        <v>11646</v>
      </c>
      <c r="H53" t="s">
        <v>11647</v>
      </c>
      <c r="I53" t="s">
        <v>11652</v>
      </c>
      <c r="J53" t="s">
        <v>11648</v>
      </c>
      <c r="K53" t="s">
        <v>11649</v>
      </c>
      <c r="L53">
        <v>2021</v>
      </c>
      <c r="M53" t="s">
        <v>11650</v>
      </c>
      <c r="N53">
        <v>44398</v>
      </c>
      <c r="O53" t="s">
        <v>11651</v>
      </c>
    </row>
    <row r="54" spans="1:16" x14ac:dyDescent="0.15">
      <c r="A54">
        <v>35408821</v>
      </c>
      <c r="B54">
        <v>34098025</v>
      </c>
      <c r="E54">
        <v>32706245</v>
      </c>
      <c r="F54">
        <v>28676332</v>
      </c>
      <c r="G54" t="s">
        <v>11656</v>
      </c>
      <c r="H54" t="s">
        <v>11657</v>
      </c>
      <c r="I54" t="s">
        <v>11663</v>
      </c>
      <c r="J54" t="s">
        <v>11658</v>
      </c>
      <c r="K54" t="s">
        <v>11659</v>
      </c>
      <c r="L54">
        <v>2018</v>
      </c>
      <c r="M54" t="s">
        <v>11660</v>
      </c>
      <c r="N54">
        <v>42922</v>
      </c>
      <c r="O54" t="s">
        <v>11661</v>
      </c>
      <c r="P54" t="s">
        <v>11662</v>
      </c>
    </row>
    <row r="55" spans="1:16" x14ac:dyDescent="0.15">
      <c r="A55">
        <v>30644724</v>
      </c>
      <c r="B55">
        <v>34295456</v>
      </c>
      <c r="E55">
        <v>31160785</v>
      </c>
      <c r="F55">
        <v>24909737</v>
      </c>
      <c r="G55" t="s">
        <v>11672</v>
      </c>
      <c r="H55" t="s">
        <v>11673</v>
      </c>
      <c r="I55" t="s">
        <v>11677</v>
      </c>
      <c r="J55" t="s">
        <v>11674</v>
      </c>
      <c r="K55" t="s">
        <v>11675</v>
      </c>
      <c r="L55">
        <v>2014</v>
      </c>
      <c r="M55" t="s">
        <v>11676</v>
      </c>
      <c r="N55">
        <v>41800</v>
      </c>
    </row>
    <row r="56" spans="1:16" x14ac:dyDescent="0.15">
      <c r="A56">
        <v>30530119</v>
      </c>
      <c r="B56">
        <v>29971917</v>
      </c>
      <c r="E56">
        <v>35590205</v>
      </c>
      <c r="F56">
        <v>30451032</v>
      </c>
      <c r="G56" t="s">
        <v>11678</v>
      </c>
      <c r="H56" t="s">
        <v>11679</v>
      </c>
      <c r="I56" t="s">
        <v>11685</v>
      </c>
      <c r="J56" t="s">
        <v>11680</v>
      </c>
      <c r="K56" t="s">
        <v>11681</v>
      </c>
      <c r="L56">
        <v>2019</v>
      </c>
      <c r="M56" t="s">
        <v>11682</v>
      </c>
      <c r="N56">
        <v>43424</v>
      </c>
      <c r="O56" t="s">
        <v>11683</v>
      </c>
      <c r="P56" t="s">
        <v>11684</v>
      </c>
    </row>
    <row r="57" spans="1:16" x14ac:dyDescent="0.15">
      <c r="A57">
        <v>32731547</v>
      </c>
      <c r="B57">
        <v>35731982</v>
      </c>
      <c r="E57">
        <v>29593276</v>
      </c>
      <c r="F57">
        <v>30242641</v>
      </c>
      <c r="G57" t="s">
        <v>11686</v>
      </c>
      <c r="H57" t="s">
        <v>11687</v>
      </c>
      <c r="I57" t="s">
        <v>11692</v>
      </c>
      <c r="J57" t="s">
        <v>11688</v>
      </c>
      <c r="K57" t="s">
        <v>11689</v>
      </c>
      <c r="L57">
        <v>2019</v>
      </c>
      <c r="M57" t="s">
        <v>11690</v>
      </c>
      <c r="N57">
        <v>43366</v>
      </c>
      <c r="O57" t="s">
        <v>11691</v>
      </c>
    </row>
    <row r="58" spans="1:16" x14ac:dyDescent="0.15">
      <c r="A58" t="s">
        <v>74</v>
      </c>
      <c r="B58">
        <v>33753167</v>
      </c>
      <c r="E58">
        <v>21172122</v>
      </c>
      <c r="F58">
        <v>31784837</v>
      </c>
      <c r="G58" t="s">
        <v>11693</v>
      </c>
      <c r="H58" t="s">
        <v>11694</v>
      </c>
      <c r="I58" t="s">
        <v>11698</v>
      </c>
      <c r="J58" t="s">
        <v>11695</v>
      </c>
      <c r="K58" t="s">
        <v>11696</v>
      </c>
      <c r="L58">
        <v>2019</v>
      </c>
      <c r="M58" t="s">
        <v>11697</v>
      </c>
      <c r="N58">
        <v>43800</v>
      </c>
    </row>
    <row r="59" spans="1:16" x14ac:dyDescent="0.15">
      <c r="A59">
        <v>33304477</v>
      </c>
      <c r="B59">
        <v>33917426</v>
      </c>
      <c r="E59">
        <v>33025277</v>
      </c>
      <c r="F59">
        <v>31646316</v>
      </c>
      <c r="G59" t="s">
        <v>11718</v>
      </c>
      <c r="H59" t="s">
        <v>11719</v>
      </c>
      <c r="I59" t="s">
        <v>11723</v>
      </c>
      <c r="J59" t="s">
        <v>11720</v>
      </c>
      <c r="K59" t="s">
        <v>11721</v>
      </c>
      <c r="L59">
        <v>2019</v>
      </c>
      <c r="M59" t="s">
        <v>11722</v>
      </c>
      <c r="N59">
        <v>43763</v>
      </c>
    </row>
    <row r="60" spans="1:16" x14ac:dyDescent="0.15">
      <c r="A60">
        <v>29040005</v>
      </c>
      <c r="B60">
        <v>32028208</v>
      </c>
      <c r="E60">
        <v>35538484</v>
      </c>
      <c r="F60">
        <v>28410618</v>
      </c>
      <c r="G60" t="s">
        <v>11735</v>
      </c>
      <c r="H60" t="s">
        <v>11736</v>
      </c>
      <c r="I60" t="s">
        <v>11740</v>
      </c>
      <c r="J60" t="s">
        <v>11737</v>
      </c>
      <c r="K60" t="s">
        <v>11738</v>
      </c>
      <c r="L60">
        <v>2017</v>
      </c>
      <c r="M60" t="s">
        <v>11423</v>
      </c>
      <c r="N60">
        <v>42841</v>
      </c>
      <c r="O60" t="s">
        <v>11739</v>
      </c>
    </row>
    <row r="61" spans="1:16" x14ac:dyDescent="0.15">
      <c r="A61">
        <v>24722878</v>
      </c>
      <c r="B61">
        <v>32602227</v>
      </c>
      <c r="E61">
        <v>32444558</v>
      </c>
      <c r="F61">
        <v>33666247</v>
      </c>
      <c r="G61" t="s">
        <v>11741</v>
      </c>
      <c r="H61" t="s">
        <v>11742</v>
      </c>
      <c r="I61" t="s">
        <v>11746</v>
      </c>
      <c r="J61" t="s">
        <v>11743</v>
      </c>
      <c r="K61" t="s">
        <v>11744</v>
      </c>
      <c r="L61">
        <v>2021</v>
      </c>
      <c r="M61" t="s">
        <v>11745</v>
      </c>
      <c r="N61">
        <v>44260</v>
      </c>
    </row>
    <row r="62" spans="1:16" x14ac:dyDescent="0.15">
      <c r="A62">
        <v>26150337</v>
      </c>
      <c r="B62">
        <v>28811546</v>
      </c>
      <c r="E62">
        <v>29747217</v>
      </c>
      <c r="F62">
        <v>31882820</v>
      </c>
      <c r="G62" t="s">
        <v>11747</v>
      </c>
      <c r="H62" t="s">
        <v>11748</v>
      </c>
      <c r="I62" t="s">
        <v>11752</v>
      </c>
      <c r="J62" t="s">
        <v>11749</v>
      </c>
      <c r="K62" t="s">
        <v>11750</v>
      </c>
      <c r="L62">
        <v>2019</v>
      </c>
      <c r="M62" t="s">
        <v>11466</v>
      </c>
      <c r="N62">
        <v>43828</v>
      </c>
      <c r="O62" t="s">
        <v>11751</v>
      </c>
    </row>
    <row r="63" spans="1:16" x14ac:dyDescent="0.15">
      <c r="A63">
        <v>33727157</v>
      </c>
      <c r="B63">
        <v>33275138</v>
      </c>
      <c r="E63">
        <v>34365576</v>
      </c>
      <c r="F63">
        <v>29251021</v>
      </c>
      <c r="G63" t="s">
        <v>11757</v>
      </c>
      <c r="H63" t="s">
        <v>11758</v>
      </c>
      <c r="I63" t="s">
        <v>11761</v>
      </c>
      <c r="J63" t="s">
        <v>11759</v>
      </c>
      <c r="K63" t="s">
        <v>11760</v>
      </c>
      <c r="L63">
        <v>2018</v>
      </c>
      <c r="M63" t="s">
        <v>11682</v>
      </c>
      <c r="N63">
        <v>43088</v>
      </c>
    </row>
    <row r="64" spans="1:16" x14ac:dyDescent="0.15">
      <c r="A64">
        <v>34122779</v>
      </c>
      <c r="B64">
        <v>34572021</v>
      </c>
      <c r="E64">
        <v>17187173</v>
      </c>
      <c r="F64">
        <v>27191915</v>
      </c>
      <c r="G64" t="s">
        <v>11762</v>
      </c>
      <c r="H64" t="s">
        <v>11763</v>
      </c>
      <c r="I64" t="s">
        <v>11766</v>
      </c>
      <c r="J64" t="s">
        <v>11764</v>
      </c>
      <c r="K64" t="s">
        <v>11765</v>
      </c>
      <c r="L64">
        <v>2016</v>
      </c>
      <c r="M64" t="s">
        <v>11322</v>
      </c>
      <c r="N64">
        <v>42509</v>
      </c>
    </row>
    <row r="65" spans="1:16" x14ac:dyDescent="0.15">
      <c r="A65">
        <v>33304899</v>
      </c>
      <c r="B65">
        <v>31017389</v>
      </c>
      <c r="E65">
        <v>31311428</v>
      </c>
      <c r="F65">
        <v>34060032</v>
      </c>
      <c r="G65" t="s">
        <v>11771</v>
      </c>
      <c r="H65" t="s">
        <v>11772</v>
      </c>
      <c r="I65" t="s">
        <v>11775</v>
      </c>
      <c r="J65" t="s">
        <v>11773</v>
      </c>
      <c r="K65" t="s">
        <v>11774</v>
      </c>
      <c r="L65">
        <v>2021</v>
      </c>
      <c r="M65" t="s">
        <v>11317</v>
      </c>
      <c r="N65">
        <v>44348</v>
      </c>
    </row>
    <row r="66" spans="1:16" x14ac:dyDescent="0.15">
      <c r="A66">
        <v>31200749</v>
      </c>
      <c r="B66">
        <v>30139385</v>
      </c>
      <c r="E66">
        <v>31331349</v>
      </c>
      <c r="F66">
        <v>25837312</v>
      </c>
      <c r="G66" t="s">
        <v>11783</v>
      </c>
      <c r="H66" t="s">
        <v>11784</v>
      </c>
      <c r="I66" t="s">
        <v>11790</v>
      </c>
      <c r="J66" t="s">
        <v>11785</v>
      </c>
      <c r="K66" t="s">
        <v>11786</v>
      </c>
      <c r="L66">
        <v>2015</v>
      </c>
      <c r="M66" t="s">
        <v>11787</v>
      </c>
      <c r="N66">
        <v>42098</v>
      </c>
      <c r="O66" t="s">
        <v>11788</v>
      </c>
      <c r="P66" t="s">
        <v>11789</v>
      </c>
    </row>
    <row r="67" spans="1:16" x14ac:dyDescent="0.15">
      <c r="A67">
        <v>28387728</v>
      </c>
      <c r="B67">
        <v>28088446</v>
      </c>
      <c r="E67">
        <v>30301925</v>
      </c>
      <c r="F67">
        <v>26238497</v>
      </c>
      <c r="G67" t="s">
        <v>11791</v>
      </c>
      <c r="H67" t="s">
        <v>11792</v>
      </c>
      <c r="I67" t="s">
        <v>11796</v>
      </c>
      <c r="J67" t="s">
        <v>11793</v>
      </c>
      <c r="K67" t="s">
        <v>11794</v>
      </c>
      <c r="L67">
        <v>2015</v>
      </c>
      <c r="M67" t="s">
        <v>11795</v>
      </c>
      <c r="N67">
        <v>42221</v>
      </c>
    </row>
    <row r="68" spans="1:16" x14ac:dyDescent="0.15">
      <c r="A68">
        <v>29997623</v>
      </c>
      <c r="B68">
        <v>33369394</v>
      </c>
      <c r="E68">
        <v>23873874</v>
      </c>
      <c r="F68">
        <v>35892331</v>
      </c>
      <c r="G68" t="s">
        <v>11861</v>
      </c>
      <c r="H68" t="s">
        <v>11862</v>
      </c>
      <c r="I68" t="s">
        <v>11867</v>
      </c>
      <c r="J68" t="s">
        <v>11863</v>
      </c>
      <c r="K68" t="s">
        <v>11864</v>
      </c>
      <c r="L68">
        <v>2022</v>
      </c>
      <c r="M68" t="s">
        <v>11865</v>
      </c>
      <c r="N68">
        <v>44769</v>
      </c>
      <c r="O68" t="s">
        <v>11866</v>
      </c>
    </row>
    <row r="69" spans="1:16" x14ac:dyDescent="0.15">
      <c r="A69">
        <v>31683842</v>
      </c>
      <c r="B69">
        <v>30551256</v>
      </c>
      <c r="E69">
        <v>24245560</v>
      </c>
      <c r="F69">
        <v>20235276</v>
      </c>
      <c r="G69" t="s">
        <v>11876</v>
      </c>
      <c r="H69" t="s">
        <v>11877</v>
      </c>
      <c r="I69" t="s">
        <v>11882</v>
      </c>
      <c r="J69" t="s">
        <v>11878</v>
      </c>
      <c r="K69" t="s">
        <v>11879</v>
      </c>
      <c r="L69">
        <v>2010</v>
      </c>
      <c r="M69" t="s">
        <v>11846</v>
      </c>
      <c r="N69">
        <v>40255</v>
      </c>
      <c r="O69" t="s">
        <v>11880</v>
      </c>
      <c r="P69" t="s">
        <v>11881</v>
      </c>
    </row>
    <row r="70" spans="1:16" x14ac:dyDescent="0.15">
      <c r="A70">
        <v>29793362</v>
      </c>
      <c r="B70">
        <v>32634139</v>
      </c>
      <c r="E70">
        <v>19940036</v>
      </c>
      <c r="F70">
        <v>28167212</v>
      </c>
      <c r="G70" t="s">
        <v>11897</v>
      </c>
      <c r="H70" t="s">
        <v>11898</v>
      </c>
      <c r="I70" t="s">
        <v>11902</v>
      </c>
      <c r="J70" t="s">
        <v>11899</v>
      </c>
      <c r="K70" t="s">
        <v>11900</v>
      </c>
      <c r="L70">
        <v>2017</v>
      </c>
      <c r="M70" t="s">
        <v>11901</v>
      </c>
      <c r="N70">
        <v>42774</v>
      </c>
    </row>
    <row r="71" spans="1:16" x14ac:dyDescent="0.15">
      <c r="A71">
        <v>34572021</v>
      </c>
      <c r="B71">
        <v>28470712</v>
      </c>
      <c r="E71">
        <v>25339697</v>
      </c>
      <c r="F71">
        <v>21318413</v>
      </c>
      <c r="G71" t="s">
        <v>11903</v>
      </c>
      <c r="H71" t="s">
        <v>11904</v>
      </c>
      <c r="I71" t="s">
        <v>11908</v>
      </c>
      <c r="J71" t="s">
        <v>11905</v>
      </c>
      <c r="K71" t="s">
        <v>11906</v>
      </c>
      <c r="L71">
        <v>2011</v>
      </c>
      <c r="M71" t="s">
        <v>11907</v>
      </c>
      <c r="N71">
        <v>40589</v>
      </c>
    </row>
    <row r="72" spans="1:16" x14ac:dyDescent="0.15">
      <c r="A72">
        <v>35215922</v>
      </c>
      <c r="B72">
        <v>30542983</v>
      </c>
      <c r="E72">
        <v>23483985</v>
      </c>
      <c r="F72">
        <v>24250247</v>
      </c>
      <c r="G72" t="s">
        <v>11909</v>
      </c>
      <c r="H72" t="s">
        <v>11910</v>
      </c>
      <c r="I72" t="s">
        <v>11914</v>
      </c>
      <c r="J72" t="s">
        <v>11911</v>
      </c>
      <c r="K72" t="s">
        <v>11912</v>
      </c>
      <c r="L72">
        <v>2013</v>
      </c>
      <c r="M72" t="s">
        <v>11387</v>
      </c>
      <c r="N72">
        <v>41598</v>
      </c>
      <c r="O72" t="s">
        <v>11913</v>
      </c>
    </row>
    <row r="73" spans="1:16" x14ac:dyDescent="0.15">
      <c r="A73">
        <v>30620023</v>
      </c>
      <c r="B73">
        <v>30247599</v>
      </c>
      <c r="E73">
        <v>35658009</v>
      </c>
      <c r="F73">
        <v>27075363</v>
      </c>
      <c r="G73" t="s">
        <v>11934</v>
      </c>
      <c r="H73" t="s">
        <v>11935</v>
      </c>
      <c r="I73" t="s">
        <v>11939</v>
      </c>
      <c r="J73" t="s">
        <v>11936</v>
      </c>
      <c r="K73" t="s">
        <v>11937</v>
      </c>
      <c r="L73">
        <v>2016</v>
      </c>
      <c r="M73" t="s">
        <v>11918</v>
      </c>
      <c r="N73">
        <v>42475</v>
      </c>
      <c r="O73" t="s">
        <v>11938</v>
      </c>
    </row>
    <row r="74" spans="1:16" x14ac:dyDescent="0.15">
      <c r="A74">
        <v>34422924</v>
      </c>
      <c r="B74">
        <v>32594744</v>
      </c>
      <c r="E74">
        <v>29357442</v>
      </c>
      <c r="F74">
        <v>34198263</v>
      </c>
      <c r="G74" t="s">
        <v>11940</v>
      </c>
      <c r="H74" t="s">
        <v>11941</v>
      </c>
      <c r="I74" t="s">
        <v>11946</v>
      </c>
      <c r="J74" t="s">
        <v>11942</v>
      </c>
      <c r="K74" t="s">
        <v>11943</v>
      </c>
      <c r="L74">
        <v>2021</v>
      </c>
      <c r="M74" t="s">
        <v>11944</v>
      </c>
      <c r="N74">
        <v>44378</v>
      </c>
      <c r="O74" t="s">
        <v>11945</v>
      </c>
    </row>
    <row r="75" spans="1:16" x14ac:dyDescent="0.15">
      <c r="A75" t="s">
        <v>74</v>
      </c>
      <c r="B75">
        <v>22506041</v>
      </c>
      <c r="E75">
        <v>31043377</v>
      </c>
      <c r="F75">
        <v>30257227</v>
      </c>
      <c r="G75" t="s">
        <v>11947</v>
      </c>
      <c r="H75" t="s">
        <v>11948</v>
      </c>
      <c r="I75" t="s">
        <v>11952</v>
      </c>
      <c r="J75" t="s">
        <v>11949</v>
      </c>
      <c r="K75" t="s">
        <v>11950</v>
      </c>
      <c r="L75">
        <v>2018</v>
      </c>
      <c r="M75" t="s">
        <v>11951</v>
      </c>
      <c r="N75">
        <v>43370</v>
      </c>
    </row>
    <row r="76" spans="1:16" x14ac:dyDescent="0.15">
      <c r="A76" t="s">
        <v>74</v>
      </c>
      <c r="B76">
        <v>33086079</v>
      </c>
      <c r="E76">
        <v>28592251</v>
      </c>
      <c r="F76">
        <v>33798333</v>
      </c>
      <c r="G76" t="s">
        <v>11953</v>
      </c>
      <c r="H76" t="s">
        <v>11954</v>
      </c>
      <c r="I76" t="s">
        <v>11957</v>
      </c>
      <c r="J76" t="s">
        <v>11955</v>
      </c>
      <c r="K76" t="s">
        <v>11956</v>
      </c>
      <c r="L76">
        <v>2021</v>
      </c>
      <c r="M76" t="s">
        <v>11453</v>
      </c>
      <c r="N76">
        <v>44288</v>
      </c>
    </row>
    <row r="77" spans="1:16" x14ac:dyDescent="0.15">
      <c r="A77">
        <v>21506015</v>
      </c>
      <c r="B77">
        <v>29986209</v>
      </c>
      <c r="E77">
        <v>31285775</v>
      </c>
      <c r="F77">
        <v>33454965</v>
      </c>
      <c r="G77" t="s">
        <v>11958</v>
      </c>
      <c r="H77" t="s">
        <v>11959</v>
      </c>
      <c r="I77" t="s">
        <v>11963</v>
      </c>
      <c r="J77" t="s">
        <v>11960</v>
      </c>
      <c r="K77" t="s">
        <v>11961</v>
      </c>
      <c r="L77">
        <v>2021</v>
      </c>
      <c r="M77" t="s">
        <v>11962</v>
      </c>
      <c r="N77">
        <v>44213</v>
      </c>
    </row>
    <row r="78" spans="1:16" x14ac:dyDescent="0.15">
      <c r="A78">
        <v>33671772</v>
      </c>
      <c r="B78">
        <v>34772443</v>
      </c>
      <c r="E78">
        <v>7077301</v>
      </c>
      <c r="F78">
        <v>30467990</v>
      </c>
      <c r="G78" t="s">
        <v>11964</v>
      </c>
      <c r="H78" t="s">
        <v>11965</v>
      </c>
      <c r="I78" t="s">
        <v>11968</v>
      </c>
      <c r="J78" t="s">
        <v>11966</v>
      </c>
      <c r="K78" t="s">
        <v>11967</v>
      </c>
      <c r="L78">
        <v>2019</v>
      </c>
      <c r="M78" t="s">
        <v>11593</v>
      </c>
      <c r="N78">
        <v>43428</v>
      </c>
    </row>
    <row r="79" spans="1:16" x14ac:dyDescent="0.15">
      <c r="A79">
        <v>35731982</v>
      </c>
      <c r="B79">
        <v>29109780</v>
      </c>
      <c r="E79">
        <v>18802920</v>
      </c>
      <c r="F79">
        <v>31123713</v>
      </c>
      <c r="G79" t="s">
        <v>2941</v>
      </c>
      <c r="H79" t="s">
        <v>11976</v>
      </c>
      <c r="I79" t="s">
        <v>2953</v>
      </c>
      <c r="J79" t="s">
        <v>11977</v>
      </c>
      <c r="K79" t="s">
        <v>11978</v>
      </c>
      <c r="L79">
        <v>2019</v>
      </c>
      <c r="M79" t="s">
        <v>11979</v>
      </c>
      <c r="N79">
        <v>43610</v>
      </c>
      <c r="O79" t="s">
        <v>11980</v>
      </c>
    </row>
    <row r="80" spans="1:16" x14ac:dyDescent="0.15">
      <c r="A80">
        <v>34984953</v>
      </c>
      <c r="B80">
        <v>33978996</v>
      </c>
      <c r="E80">
        <v>23315742</v>
      </c>
      <c r="F80">
        <v>32447063</v>
      </c>
      <c r="G80" t="s">
        <v>11985</v>
      </c>
      <c r="H80" t="s">
        <v>11986</v>
      </c>
      <c r="I80" t="s">
        <v>11989</v>
      </c>
      <c r="J80" t="s">
        <v>11987</v>
      </c>
      <c r="K80" t="s">
        <v>11275</v>
      </c>
      <c r="L80">
        <v>2020</v>
      </c>
      <c r="M80" t="s">
        <v>11988</v>
      </c>
      <c r="N80">
        <v>43976</v>
      </c>
    </row>
    <row r="81" spans="1:16" x14ac:dyDescent="0.15">
      <c r="A81">
        <v>31184791</v>
      </c>
      <c r="B81">
        <v>31843276</v>
      </c>
      <c r="E81">
        <v>20964628</v>
      </c>
      <c r="F81">
        <v>29701682</v>
      </c>
      <c r="G81" t="s">
        <v>11994</v>
      </c>
      <c r="H81" t="s">
        <v>11995</v>
      </c>
      <c r="I81" t="s">
        <v>11999</v>
      </c>
      <c r="J81" t="s">
        <v>11996</v>
      </c>
      <c r="K81" t="s">
        <v>11997</v>
      </c>
      <c r="L81">
        <v>2018</v>
      </c>
      <c r="M81" t="s">
        <v>11865</v>
      </c>
      <c r="N81">
        <v>43218</v>
      </c>
      <c r="O81" t="s">
        <v>11998</v>
      </c>
    </row>
    <row r="82" spans="1:16" x14ac:dyDescent="0.15">
      <c r="A82">
        <v>35696523</v>
      </c>
      <c r="B82">
        <v>30536653</v>
      </c>
      <c r="E82">
        <v>22143786</v>
      </c>
      <c r="F82">
        <v>27293190</v>
      </c>
      <c r="G82" t="s">
        <v>12006</v>
      </c>
      <c r="H82" t="s">
        <v>12007</v>
      </c>
      <c r="I82" t="s">
        <v>12012</v>
      </c>
      <c r="J82" t="s">
        <v>12008</v>
      </c>
      <c r="K82" t="s">
        <v>12009</v>
      </c>
      <c r="L82">
        <v>2016</v>
      </c>
      <c r="M82" t="s">
        <v>11130</v>
      </c>
      <c r="N82">
        <v>42535</v>
      </c>
      <c r="O82" t="s">
        <v>12010</v>
      </c>
      <c r="P82" t="s">
        <v>12011</v>
      </c>
    </row>
    <row r="83" spans="1:16" x14ac:dyDescent="0.15">
      <c r="A83">
        <v>31376716</v>
      </c>
      <c r="B83">
        <v>32065171</v>
      </c>
      <c r="E83">
        <v>22701748</v>
      </c>
      <c r="F83">
        <v>34135428</v>
      </c>
      <c r="G83" t="s">
        <v>12013</v>
      </c>
      <c r="H83" t="s">
        <v>12014</v>
      </c>
      <c r="I83" t="s">
        <v>12018</v>
      </c>
      <c r="J83" t="s">
        <v>12015</v>
      </c>
      <c r="K83" t="s">
        <v>12016</v>
      </c>
      <c r="L83">
        <v>2021</v>
      </c>
      <c r="M83" t="s">
        <v>11466</v>
      </c>
      <c r="N83">
        <v>44364</v>
      </c>
      <c r="O83" t="s">
        <v>12017</v>
      </c>
    </row>
    <row r="84" spans="1:16" x14ac:dyDescent="0.15">
      <c r="A84">
        <v>33231813</v>
      </c>
      <c r="B84">
        <v>29382201</v>
      </c>
      <c r="E84">
        <v>10652961</v>
      </c>
      <c r="F84">
        <v>26973197</v>
      </c>
      <c r="G84" t="s">
        <v>12042</v>
      </c>
      <c r="H84" t="s">
        <v>12043</v>
      </c>
      <c r="I84" t="s">
        <v>12047</v>
      </c>
      <c r="J84" t="s">
        <v>12044</v>
      </c>
      <c r="K84" t="s">
        <v>12045</v>
      </c>
      <c r="L84">
        <v>2016</v>
      </c>
      <c r="M84" t="s">
        <v>12046</v>
      </c>
      <c r="N84">
        <v>42444</v>
      </c>
    </row>
    <row r="85" spans="1:16" x14ac:dyDescent="0.15">
      <c r="A85">
        <v>34098025</v>
      </c>
      <c r="B85">
        <v>29192155</v>
      </c>
      <c r="E85">
        <v>7961777</v>
      </c>
      <c r="F85">
        <v>31581745</v>
      </c>
      <c r="G85" t="s">
        <v>12048</v>
      </c>
      <c r="H85" t="s">
        <v>12049</v>
      </c>
      <c r="I85" t="s">
        <v>12053</v>
      </c>
      <c r="J85" t="s">
        <v>12050</v>
      </c>
      <c r="K85" t="s">
        <v>12051</v>
      </c>
      <c r="L85">
        <v>2019</v>
      </c>
      <c r="M85" t="s">
        <v>11553</v>
      </c>
      <c r="N85">
        <v>43743</v>
      </c>
      <c r="O85" t="s">
        <v>12052</v>
      </c>
    </row>
    <row r="86" spans="1:16" x14ac:dyDescent="0.15">
      <c r="A86">
        <v>33994784</v>
      </c>
      <c r="B86">
        <v>33753455</v>
      </c>
      <c r="E86">
        <v>19832990</v>
      </c>
      <c r="F86">
        <v>33819778</v>
      </c>
      <c r="G86" t="s">
        <v>12064</v>
      </c>
      <c r="H86" t="s">
        <v>12065</v>
      </c>
      <c r="I86" t="s">
        <v>12069</v>
      </c>
      <c r="J86" t="s">
        <v>12066</v>
      </c>
      <c r="K86" t="s">
        <v>12067</v>
      </c>
      <c r="L86">
        <v>2021</v>
      </c>
      <c r="M86" t="s">
        <v>12068</v>
      </c>
      <c r="N86">
        <v>44291</v>
      </c>
    </row>
    <row r="87" spans="1:16" x14ac:dyDescent="0.15">
      <c r="A87">
        <v>29851284</v>
      </c>
      <c r="B87">
        <v>28975808</v>
      </c>
      <c r="E87">
        <v>31074077</v>
      </c>
      <c r="F87">
        <v>29051321</v>
      </c>
      <c r="G87" t="s">
        <v>12079</v>
      </c>
      <c r="H87" t="s">
        <v>12080</v>
      </c>
      <c r="I87" t="s">
        <v>12085</v>
      </c>
      <c r="J87" t="s">
        <v>12081</v>
      </c>
      <c r="K87" t="s">
        <v>12082</v>
      </c>
      <c r="L87">
        <v>2018</v>
      </c>
      <c r="M87" t="s">
        <v>12003</v>
      </c>
      <c r="N87">
        <v>43029</v>
      </c>
      <c r="O87" t="s">
        <v>12083</v>
      </c>
      <c r="P87" t="s">
        <v>12084</v>
      </c>
    </row>
    <row r="88" spans="1:16" x14ac:dyDescent="0.15">
      <c r="A88">
        <v>35008226</v>
      </c>
      <c r="B88">
        <v>32544093</v>
      </c>
      <c r="E88">
        <v>20329788</v>
      </c>
      <c r="F88">
        <v>35467282</v>
      </c>
      <c r="G88" t="s">
        <v>12101</v>
      </c>
      <c r="H88" t="s">
        <v>12102</v>
      </c>
      <c r="I88" t="s">
        <v>12105</v>
      </c>
      <c r="J88" t="s">
        <v>12103</v>
      </c>
      <c r="K88" t="s">
        <v>12104</v>
      </c>
      <c r="L88">
        <v>2022</v>
      </c>
      <c r="M88" t="s">
        <v>11317</v>
      </c>
      <c r="N88">
        <v>44676</v>
      </c>
    </row>
    <row r="89" spans="1:16" x14ac:dyDescent="0.15">
      <c r="A89">
        <v>26442449</v>
      </c>
      <c r="B89">
        <v>33311558</v>
      </c>
      <c r="E89">
        <v>7945469</v>
      </c>
      <c r="F89">
        <v>34229724</v>
      </c>
      <c r="G89" t="s">
        <v>12106</v>
      </c>
      <c r="H89" t="s">
        <v>12107</v>
      </c>
      <c r="I89" t="s">
        <v>12112</v>
      </c>
      <c r="J89" t="s">
        <v>12108</v>
      </c>
      <c r="K89" t="s">
        <v>12109</v>
      </c>
      <c r="L89">
        <v>2021</v>
      </c>
      <c r="M89" t="s">
        <v>12110</v>
      </c>
      <c r="N89">
        <v>44384</v>
      </c>
      <c r="O89" t="s">
        <v>12111</v>
      </c>
    </row>
    <row r="90" spans="1:16" x14ac:dyDescent="0.15">
      <c r="A90">
        <v>30951670</v>
      </c>
      <c r="B90">
        <v>30519544</v>
      </c>
      <c r="E90">
        <v>28392234</v>
      </c>
      <c r="F90">
        <v>27351774</v>
      </c>
      <c r="G90" t="s">
        <v>12117</v>
      </c>
      <c r="H90" t="s">
        <v>12118</v>
      </c>
      <c r="I90" t="s">
        <v>12122</v>
      </c>
      <c r="J90" t="s">
        <v>12119</v>
      </c>
      <c r="K90" t="s">
        <v>11931</v>
      </c>
      <c r="L90">
        <v>2016</v>
      </c>
      <c r="M90" t="s">
        <v>12120</v>
      </c>
      <c r="N90">
        <v>42550</v>
      </c>
      <c r="O90" t="s">
        <v>12121</v>
      </c>
    </row>
    <row r="91" spans="1:16" x14ac:dyDescent="0.15">
      <c r="A91">
        <v>33345401</v>
      </c>
      <c r="B91">
        <v>30279572</v>
      </c>
      <c r="E91">
        <v>16583463</v>
      </c>
      <c r="F91">
        <v>32020194</v>
      </c>
      <c r="G91" t="s">
        <v>12127</v>
      </c>
      <c r="H91" t="s">
        <v>12128</v>
      </c>
      <c r="I91" t="s">
        <v>12133</v>
      </c>
      <c r="J91" t="s">
        <v>12129</v>
      </c>
      <c r="K91" t="s">
        <v>12130</v>
      </c>
      <c r="L91">
        <v>2020</v>
      </c>
      <c r="M91" t="s">
        <v>12131</v>
      </c>
      <c r="N91">
        <v>43867</v>
      </c>
      <c r="O91" t="s">
        <v>12132</v>
      </c>
    </row>
    <row r="92" spans="1:16" x14ac:dyDescent="0.15">
      <c r="A92" t="s">
        <v>74</v>
      </c>
      <c r="B92">
        <v>29558959</v>
      </c>
      <c r="E92">
        <v>33734019</v>
      </c>
      <c r="F92">
        <v>32471033</v>
      </c>
      <c r="G92" t="s">
        <v>12134</v>
      </c>
      <c r="H92" t="s">
        <v>12135</v>
      </c>
      <c r="I92" t="s">
        <v>12139</v>
      </c>
      <c r="J92" t="s">
        <v>12136</v>
      </c>
      <c r="K92" t="s">
        <v>12137</v>
      </c>
      <c r="L92">
        <v>2020</v>
      </c>
      <c r="M92" t="s">
        <v>11598</v>
      </c>
      <c r="N92">
        <v>43982</v>
      </c>
      <c r="O92" t="s">
        <v>12138</v>
      </c>
    </row>
    <row r="93" spans="1:16" x14ac:dyDescent="0.15">
      <c r="A93" t="s">
        <v>74</v>
      </c>
      <c r="B93">
        <v>32315358</v>
      </c>
      <c r="E93">
        <v>20631136</v>
      </c>
      <c r="F93">
        <v>33403678</v>
      </c>
      <c r="G93" t="s">
        <v>12140</v>
      </c>
      <c r="H93" t="s">
        <v>12141</v>
      </c>
      <c r="I93" t="s">
        <v>12145</v>
      </c>
      <c r="J93" t="s">
        <v>12142</v>
      </c>
      <c r="K93" t="s">
        <v>12143</v>
      </c>
      <c r="L93">
        <v>2021</v>
      </c>
      <c r="M93" t="s">
        <v>12144</v>
      </c>
      <c r="N93">
        <v>44202</v>
      </c>
    </row>
    <row r="94" spans="1:16" x14ac:dyDescent="0.15">
      <c r="A94">
        <v>32166219</v>
      </c>
      <c r="B94">
        <v>31232418</v>
      </c>
      <c r="E94">
        <v>22238051</v>
      </c>
      <c r="F94">
        <v>32574550</v>
      </c>
      <c r="G94" t="s">
        <v>12162</v>
      </c>
      <c r="H94" t="s">
        <v>12163</v>
      </c>
      <c r="I94" t="s">
        <v>12168</v>
      </c>
      <c r="J94" t="s">
        <v>12164</v>
      </c>
      <c r="K94" t="s">
        <v>12165</v>
      </c>
      <c r="L94">
        <v>2020</v>
      </c>
      <c r="M94" t="s">
        <v>12166</v>
      </c>
      <c r="N94">
        <v>44006</v>
      </c>
      <c r="O94" t="s">
        <v>12167</v>
      </c>
    </row>
    <row r="95" spans="1:16" x14ac:dyDescent="0.15">
      <c r="A95">
        <v>33472105</v>
      </c>
      <c r="B95">
        <v>27753024</v>
      </c>
      <c r="E95">
        <v>35200555</v>
      </c>
      <c r="F95">
        <v>31143191</v>
      </c>
      <c r="G95" t="s">
        <v>12169</v>
      </c>
      <c r="H95" t="s">
        <v>12170</v>
      </c>
      <c r="I95" t="s">
        <v>12174</v>
      </c>
      <c r="J95" t="s">
        <v>12171</v>
      </c>
      <c r="K95" t="s">
        <v>12172</v>
      </c>
      <c r="L95">
        <v>2019</v>
      </c>
      <c r="M95" t="s">
        <v>11350</v>
      </c>
      <c r="N95">
        <v>43616</v>
      </c>
      <c r="O95" t="s">
        <v>12173</v>
      </c>
    </row>
    <row r="96" spans="1:16" x14ac:dyDescent="0.15">
      <c r="A96">
        <v>33076176</v>
      </c>
      <c r="B96">
        <v>33040492</v>
      </c>
      <c r="E96">
        <v>10721728</v>
      </c>
      <c r="F96">
        <v>2655710</v>
      </c>
      <c r="G96" t="s">
        <v>12201</v>
      </c>
      <c r="H96" t="s">
        <v>12202</v>
      </c>
      <c r="I96" t="s">
        <v>12206</v>
      </c>
      <c r="J96" t="s">
        <v>12203</v>
      </c>
      <c r="K96" t="s">
        <v>12204</v>
      </c>
      <c r="L96">
        <v>1989</v>
      </c>
      <c r="M96" t="s">
        <v>12205</v>
      </c>
      <c r="N96">
        <v>32637</v>
      </c>
    </row>
    <row r="97" spans="1:16" x14ac:dyDescent="0.15">
      <c r="A97">
        <v>34906563</v>
      </c>
      <c r="B97">
        <v>27793845</v>
      </c>
      <c r="E97">
        <v>9712834</v>
      </c>
      <c r="F97">
        <v>30499000</v>
      </c>
      <c r="G97" t="s">
        <v>12219</v>
      </c>
      <c r="H97" t="s">
        <v>12220</v>
      </c>
      <c r="I97" t="s">
        <v>12223</v>
      </c>
      <c r="J97" t="s">
        <v>12221</v>
      </c>
      <c r="K97" t="s">
        <v>12222</v>
      </c>
      <c r="L97">
        <v>2019</v>
      </c>
      <c r="M97" t="s">
        <v>11860</v>
      </c>
      <c r="N97">
        <v>43435</v>
      </c>
    </row>
    <row r="98" spans="1:16" x14ac:dyDescent="0.15">
      <c r="A98">
        <v>32968935</v>
      </c>
      <c r="B98">
        <v>28121262</v>
      </c>
      <c r="E98">
        <v>23020974</v>
      </c>
      <c r="F98">
        <v>32706245</v>
      </c>
      <c r="G98" t="s">
        <v>12245</v>
      </c>
      <c r="H98" t="s">
        <v>12246</v>
      </c>
      <c r="I98" t="s">
        <v>12249</v>
      </c>
      <c r="J98" t="s">
        <v>12247</v>
      </c>
      <c r="K98" t="s">
        <v>12248</v>
      </c>
      <c r="L98">
        <v>2020</v>
      </c>
      <c r="M98" t="s">
        <v>11453</v>
      </c>
      <c r="N98">
        <v>44037</v>
      </c>
    </row>
    <row r="99" spans="1:16" x14ac:dyDescent="0.15">
      <c r="A99">
        <v>31133815</v>
      </c>
      <c r="B99">
        <v>29343810</v>
      </c>
      <c r="E99">
        <v>7559527</v>
      </c>
      <c r="F99">
        <v>30234974</v>
      </c>
      <c r="G99" t="s">
        <v>12250</v>
      </c>
      <c r="H99" t="s">
        <v>12251</v>
      </c>
      <c r="I99" t="s">
        <v>12254</v>
      </c>
      <c r="J99" t="s">
        <v>12252</v>
      </c>
      <c r="K99" t="s">
        <v>12253</v>
      </c>
      <c r="L99">
        <v>2018</v>
      </c>
      <c r="M99" t="s">
        <v>11453</v>
      </c>
      <c r="N99">
        <v>43364</v>
      </c>
    </row>
    <row r="100" spans="1:16" x14ac:dyDescent="0.15">
      <c r="A100">
        <v>29382201</v>
      </c>
      <c r="B100">
        <v>26412464</v>
      </c>
      <c r="E100">
        <v>162859</v>
      </c>
      <c r="F100">
        <v>27179617</v>
      </c>
      <c r="G100" t="s">
        <v>12255</v>
      </c>
      <c r="H100" t="s">
        <v>12256</v>
      </c>
      <c r="I100" t="s">
        <v>12260</v>
      </c>
      <c r="J100" t="s">
        <v>12257</v>
      </c>
      <c r="K100" t="s">
        <v>12258</v>
      </c>
      <c r="L100">
        <v>2016</v>
      </c>
      <c r="M100" t="s">
        <v>12259</v>
      </c>
      <c r="N100">
        <v>42506</v>
      </c>
    </row>
    <row r="101" spans="1:16" x14ac:dyDescent="0.15">
      <c r="A101">
        <v>21651777</v>
      </c>
      <c r="B101">
        <v>32299821</v>
      </c>
      <c r="E101">
        <v>10782830</v>
      </c>
      <c r="F101">
        <v>31160785</v>
      </c>
      <c r="G101" t="s">
        <v>12261</v>
      </c>
      <c r="H101" t="s">
        <v>12262</v>
      </c>
      <c r="I101" t="s">
        <v>12268</v>
      </c>
      <c r="J101" t="s">
        <v>12263</v>
      </c>
      <c r="K101" t="s">
        <v>12264</v>
      </c>
      <c r="L101">
        <v>2019</v>
      </c>
      <c r="M101" t="s">
        <v>12265</v>
      </c>
      <c r="N101">
        <v>43621</v>
      </c>
      <c r="O101" t="s">
        <v>12266</v>
      </c>
      <c r="P101" t="s">
        <v>12267</v>
      </c>
    </row>
    <row r="102" spans="1:16" x14ac:dyDescent="0.15">
      <c r="A102">
        <v>29533121</v>
      </c>
      <c r="B102">
        <v>31684971</v>
      </c>
      <c r="E102">
        <v>9530176</v>
      </c>
      <c r="F102">
        <v>35590205</v>
      </c>
      <c r="G102" t="s">
        <v>12277</v>
      </c>
      <c r="H102" t="s">
        <v>12278</v>
      </c>
      <c r="I102" t="s">
        <v>12282</v>
      </c>
      <c r="J102" t="s">
        <v>12279</v>
      </c>
      <c r="K102" t="s">
        <v>12280</v>
      </c>
      <c r="L102">
        <v>2021</v>
      </c>
      <c r="M102" t="s">
        <v>12281</v>
      </c>
      <c r="N102">
        <v>44700</v>
      </c>
    </row>
    <row r="103" spans="1:16" x14ac:dyDescent="0.15">
      <c r="A103">
        <v>33076118</v>
      </c>
      <c r="B103">
        <v>31808871</v>
      </c>
      <c r="E103">
        <v>18725234</v>
      </c>
      <c r="F103">
        <v>29593276</v>
      </c>
      <c r="G103" t="s">
        <v>12291</v>
      </c>
      <c r="H103" t="s">
        <v>12292</v>
      </c>
      <c r="I103" t="s">
        <v>12296</v>
      </c>
      <c r="J103" t="s">
        <v>12293</v>
      </c>
      <c r="K103" t="s">
        <v>12294</v>
      </c>
      <c r="L103">
        <v>2018</v>
      </c>
      <c r="M103" t="s">
        <v>11251</v>
      </c>
      <c r="N103">
        <v>43189</v>
      </c>
      <c r="O103" t="s">
        <v>12295</v>
      </c>
    </row>
    <row r="104" spans="1:16" x14ac:dyDescent="0.15">
      <c r="A104">
        <v>33756122</v>
      </c>
      <c r="B104">
        <v>32134252</v>
      </c>
      <c r="E104">
        <v>22438260</v>
      </c>
      <c r="F104">
        <v>21172122</v>
      </c>
      <c r="G104" t="s">
        <v>12310</v>
      </c>
      <c r="H104" t="s">
        <v>12311</v>
      </c>
      <c r="I104" t="s">
        <v>12315</v>
      </c>
      <c r="J104" t="s">
        <v>12312</v>
      </c>
      <c r="K104" t="s">
        <v>12313</v>
      </c>
      <c r="L104">
        <v>2011</v>
      </c>
      <c r="M104" t="s">
        <v>12314</v>
      </c>
      <c r="N104">
        <v>40534</v>
      </c>
    </row>
    <row r="105" spans="1:16" x14ac:dyDescent="0.15">
      <c r="A105">
        <v>34772443</v>
      </c>
      <c r="B105">
        <v>31371728</v>
      </c>
      <c r="E105">
        <v>11988182</v>
      </c>
      <c r="F105">
        <v>28774835</v>
      </c>
      <c r="G105" t="s">
        <v>12320</v>
      </c>
      <c r="H105" t="s">
        <v>12321</v>
      </c>
      <c r="I105" t="s">
        <v>12325</v>
      </c>
      <c r="J105" t="s">
        <v>12322</v>
      </c>
      <c r="K105" t="s">
        <v>12323</v>
      </c>
      <c r="L105">
        <v>2018</v>
      </c>
      <c r="M105" t="s">
        <v>12324</v>
      </c>
      <c r="N105">
        <v>42952</v>
      </c>
    </row>
    <row r="106" spans="1:16" x14ac:dyDescent="0.15">
      <c r="A106">
        <v>25783200</v>
      </c>
      <c r="B106">
        <v>32246814</v>
      </c>
      <c r="E106">
        <v>8849358</v>
      </c>
      <c r="F106">
        <v>34747596</v>
      </c>
      <c r="G106" t="s">
        <v>12326</v>
      </c>
      <c r="H106" t="s">
        <v>12327</v>
      </c>
      <c r="I106" t="s">
        <v>12330</v>
      </c>
      <c r="J106" t="s">
        <v>12328</v>
      </c>
      <c r="K106" t="s">
        <v>12329</v>
      </c>
      <c r="L106">
        <v>2021</v>
      </c>
      <c r="M106" t="s">
        <v>11453</v>
      </c>
      <c r="N106">
        <v>44508</v>
      </c>
    </row>
    <row r="107" spans="1:16" x14ac:dyDescent="0.15">
      <c r="A107">
        <v>30658414</v>
      </c>
      <c r="B107">
        <v>31660712</v>
      </c>
      <c r="F107">
        <v>32867502</v>
      </c>
      <c r="G107" t="s">
        <v>12344</v>
      </c>
      <c r="H107" t="s">
        <v>12345</v>
      </c>
      <c r="I107" t="s">
        <v>12348</v>
      </c>
      <c r="J107" t="s">
        <v>12346</v>
      </c>
      <c r="K107" t="s">
        <v>12347</v>
      </c>
      <c r="L107">
        <v>2020</v>
      </c>
      <c r="M107" t="s">
        <v>11453</v>
      </c>
      <c r="N107">
        <v>44076</v>
      </c>
    </row>
    <row r="108" spans="1:16" x14ac:dyDescent="0.15">
      <c r="A108">
        <v>29305855</v>
      </c>
      <c r="B108">
        <v>32744099</v>
      </c>
      <c r="F108">
        <v>30760538</v>
      </c>
      <c r="G108" t="s">
        <v>10185</v>
      </c>
      <c r="H108" t="s">
        <v>12349</v>
      </c>
      <c r="I108" t="s">
        <v>10196</v>
      </c>
      <c r="J108" t="s">
        <v>12350</v>
      </c>
      <c r="K108" t="s">
        <v>12351</v>
      </c>
      <c r="L108">
        <v>2019</v>
      </c>
      <c r="M108" t="s">
        <v>12352</v>
      </c>
      <c r="N108">
        <v>43511</v>
      </c>
      <c r="O108" t="s">
        <v>12353</v>
      </c>
    </row>
    <row r="109" spans="1:16" x14ac:dyDescent="0.15">
      <c r="A109">
        <v>27434143</v>
      </c>
      <c r="B109">
        <v>33693781</v>
      </c>
      <c r="F109">
        <v>31495861</v>
      </c>
      <c r="G109" t="s">
        <v>12354</v>
      </c>
      <c r="H109" t="s">
        <v>12355</v>
      </c>
      <c r="I109" t="s">
        <v>12358</v>
      </c>
      <c r="J109" t="s">
        <v>12356</v>
      </c>
      <c r="K109" t="s">
        <v>12357</v>
      </c>
      <c r="L109">
        <v>2019</v>
      </c>
      <c r="M109" t="s">
        <v>11702</v>
      </c>
      <c r="N109">
        <v>43718</v>
      </c>
    </row>
    <row r="110" spans="1:16" x14ac:dyDescent="0.15">
      <c r="A110">
        <v>30604797</v>
      </c>
      <c r="B110">
        <v>31903745</v>
      </c>
      <c r="F110">
        <v>33025277</v>
      </c>
      <c r="G110" t="s">
        <v>12367</v>
      </c>
      <c r="H110" t="s">
        <v>12368</v>
      </c>
      <c r="I110" t="s">
        <v>12371</v>
      </c>
      <c r="J110" t="s">
        <v>12369</v>
      </c>
      <c r="K110" t="s">
        <v>12370</v>
      </c>
      <c r="L110">
        <v>2020</v>
      </c>
      <c r="M110" t="s">
        <v>12272</v>
      </c>
      <c r="N110">
        <v>44111</v>
      </c>
    </row>
    <row r="111" spans="1:16" x14ac:dyDescent="0.15">
      <c r="A111">
        <v>30881463</v>
      </c>
      <c r="B111">
        <v>32160132</v>
      </c>
      <c r="F111">
        <v>35830762</v>
      </c>
      <c r="G111" t="s">
        <v>12374</v>
      </c>
      <c r="H111" t="s">
        <v>12375</v>
      </c>
      <c r="I111" t="s">
        <v>12379</v>
      </c>
      <c r="J111" t="s">
        <v>12376</v>
      </c>
      <c r="K111" t="s">
        <v>12377</v>
      </c>
      <c r="L111">
        <v>2022</v>
      </c>
      <c r="M111" t="s">
        <v>12378</v>
      </c>
      <c r="N111">
        <v>44755</v>
      </c>
    </row>
    <row r="112" spans="1:16" x14ac:dyDescent="0.15">
      <c r="A112">
        <v>28694699</v>
      </c>
      <c r="B112">
        <v>32603406</v>
      </c>
      <c r="F112">
        <v>31322581</v>
      </c>
      <c r="G112" t="s">
        <v>12380</v>
      </c>
      <c r="H112" t="s">
        <v>12381</v>
      </c>
      <c r="I112" t="s">
        <v>12386</v>
      </c>
      <c r="J112" t="s">
        <v>12382</v>
      </c>
      <c r="K112" t="s">
        <v>12383</v>
      </c>
      <c r="L112">
        <v>2019</v>
      </c>
      <c r="M112" t="s">
        <v>12384</v>
      </c>
      <c r="N112">
        <v>43666</v>
      </c>
      <c r="O112" t="s">
        <v>12385</v>
      </c>
    </row>
    <row r="113" spans="1:15" x14ac:dyDescent="0.15">
      <c r="A113">
        <v>28811546</v>
      </c>
      <c r="B113">
        <v>25820722</v>
      </c>
      <c r="F113">
        <v>35538484</v>
      </c>
      <c r="G113" t="s">
        <v>12416</v>
      </c>
      <c r="H113" t="s">
        <v>12417</v>
      </c>
      <c r="I113" t="s">
        <v>12421</v>
      </c>
      <c r="J113" t="s">
        <v>12418</v>
      </c>
      <c r="K113" t="s">
        <v>12419</v>
      </c>
      <c r="L113">
        <v>2022</v>
      </c>
      <c r="M113" t="s">
        <v>11423</v>
      </c>
      <c r="N113">
        <v>44691</v>
      </c>
      <c r="O113" t="s">
        <v>12420</v>
      </c>
    </row>
    <row r="114" spans="1:15" x14ac:dyDescent="0.15">
      <c r="A114">
        <v>28088446</v>
      </c>
      <c r="B114">
        <v>32441840</v>
      </c>
      <c r="F114">
        <v>32444558</v>
      </c>
      <c r="G114" t="s">
        <v>12422</v>
      </c>
      <c r="H114" t="s">
        <v>12423</v>
      </c>
      <c r="I114" t="s">
        <v>12426</v>
      </c>
      <c r="J114" t="s">
        <v>12424</v>
      </c>
      <c r="K114" t="s">
        <v>12425</v>
      </c>
      <c r="L114">
        <v>2020</v>
      </c>
      <c r="M114" t="s">
        <v>12384</v>
      </c>
      <c r="N114">
        <v>43975</v>
      </c>
    </row>
    <row r="115" spans="1:15" x14ac:dyDescent="0.15">
      <c r="A115">
        <v>35630882</v>
      </c>
      <c r="B115">
        <v>32912198</v>
      </c>
      <c r="F115">
        <v>29747217</v>
      </c>
      <c r="G115" t="s">
        <v>12439</v>
      </c>
      <c r="H115" t="s">
        <v>12440</v>
      </c>
      <c r="I115" t="s">
        <v>12444</v>
      </c>
      <c r="J115" t="s">
        <v>12441</v>
      </c>
      <c r="K115" t="s">
        <v>12442</v>
      </c>
      <c r="L115">
        <v>2018</v>
      </c>
      <c r="M115" t="s">
        <v>12443</v>
      </c>
      <c r="N115">
        <v>43231</v>
      </c>
    </row>
    <row r="116" spans="1:15" x14ac:dyDescent="0.15">
      <c r="A116">
        <v>31506601</v>
      </c>
      <c r="B116">
        <v>32530449</v>
      </c>
      <c r="F116">
        <v>26409934</v>
      </c>
      <c r="G116" t="s">
        <v>12445</v>
      </c>
      <c r="H116" t="s">
        <v>12446</v>
      </c>
      <c r="I116" t="s">
        <v>12450</v>
      </c>
      <c r="J116" t="s">
        <v>12447</v>
      </c>
      <c r="K116" t="s">
        <v>12448</v>
      </c>
      <c r="L116">
        <v>2016</v>
      </c>
      <c r="M116" t="s">
        <v>12449</v>
      </c>
      <c r="N116">
        <v>42275</v>
      </c>
    </row>
    <row r="117" spans="1:15" x14ac:dyDescent="0.15">
      <c r="A117">
        <v>33042841</v>
      </c>
      <c r="B117">
        <v>31182116</v>
      </c>
      <c r="F117">
        <v>34365576</v>
      </c>
      <c r="G117" t="s">
        <v>12478</v>
      </c>
      <c r="H117" t="s">
        <v>12479</v>
      </c>
      <c r="I117" t="s">
        <v>12484</v>
      </c>
      <c r="J117" t="s">
        <v>12480</v>
      </c>
      <c r="K117" t="s">
        <v>12481</v>
      </c>
      <c r="L117">
        <v>2022</v>
      </c>
      <c r="M117" t="s">
        <v>12482</v>
      </c>
      <c r="N117">
        <v>44416</v>
      </c>
      <c r="O117" t="s">
        <v>12483</v>
      </c>
    </row>
    <row r="118" spans="1:15" x14ac:dyDescent="0.15">
      <c r="A118" t="s">
        <v>74</v>
      </c>
      <c r="B118">
        <v>32232575</v>
      </c>
      <c r="F118">
        <v>17187173</v>
      </c>
      <c r="G118" t="s">
        <v>12485</v>
      </c>
      <c r="H118" t="s">
        <v>12486</v>
      </c>
      <c r="I118" t="s">
        <v>12490</v>
      </c>
      <c r="J118" t="s">
        <v>12487</v>
      </c>
      <c r="K118" t="s">
        <v>12488</v>
      </c>
      <c r="L118">
        <v>2007</v>
      </c>
      <c r="M118" t="s">
        <v>12489</v>
      </c>
      <c r="N118">
        <v>39077</v>
      </c>
    </row>
    <row r="119" spans="1:15" x14ac:dyDescent="0.15">
      <c r="A119">
        <v>24834468</v>
      </c>
      <c r="B119">
        <v>25772109</v>
      </c>
      <c r="F119">
        <v>22025668</v>
      </c>
      <c r="G119" t="s">
        <v>12491</v>
      </c>
      <c r="H119" t="s">
        <v>12492</v>
      </c>
      <c r="I119" t="s">
        <v>12497</v>
      </c>
      <c r="J119" t="s">
        <v>12493</v>
      </c>
      <c r="K119" t="s">
        <v>12494</v>
      </c>
      <c r="L119">
        <v>2011</v>
      </c>
      <c r="M119" t="s">
        <v>12495</v>
      </c>
      <c r="N119">
        <v>40842</v>
      </c>
      <c r="O119" t="s">
        <v>12496</v>
      </c>
    </row>
    <row r="120" spans="1:15" x14ac:dyDescent="0.15">
      <c r="A120">
        <v>33420117</v>
      </c>
      <c r="B120">
        <v>33169756</v>
      </c>
      <c r="F120">
        <v>31311428</v>
      </c>
      <c r="G120" t="s">
        <v>12498</v>
      </c>
      <c r="H120" t="s">
        <v>12499</v>
      </c>
      <c r="I120" t="s">
        <v>12503</v>
      </c>
      <c r="J120" t="s">
        <v>12500</v>
      </c>
      <c r="K120" t="s">
        <v>12501</v>
      </c>
      <c r="L120">
        <v>2019</v>
      </c>
      <c r="M120" t="s">
        <v>12502</v>
      </c>
      <c r="N120">
        <v>43664</v>
      </c>
    </row>
    <row r="121" spans="1:15" x14ac:dyDescent="0.15">
      <c r="A121">
        <v>26578789</v>
      </c>
      <c r="B121">
        <v>26126838</v>
      </c>
      <c r="F121">
        <v>21616097</v>
      </c>
      <c r="G121" t="s">
        <v>12504</v>
      </c>
      <c r="H121" t="s">
        <v>12505</v>
      </c>
      <c r="I121" t="s">
        <v>12508</v>
      </c>
      <c r="J121" t="s">
        <v>12506</v>
      </c>
      <c r="K121" t="s">
        <v>12507</v>
      </c>
      <c r="L121">
        <v>2011</v>
      </c>
      <c r="M121" t="s">
        <v>12205</v>
      </c>
      <c r="N121">
        <v>40691</v>
      </c>
    </row>
    <row r="122" spans="1:15" x14ac:dyDescent="0.15">
      <c r="A122">
        <v>35598195</v>
      </c>
      <c r="B122">
        <v>25111183</v>
      </c>
      <c r="F122">
        <v>23774836</v>
      </c>
      <c r="G122" t="s">
        <v>12509</v>
      </c>
      <c r="H122" t="s">
        <v>12510</v>
      </c>
      <c r="I122" t="s">
        <v>12514</v>
      </c>
      <c r="J122" t="s">
        <v>12511</v>
      </c>
      <c r="K122" t="s">
        <v>12512</v>
      </c>
      <c r="L122">
        <v>2013</v>
      </c>
      <c r="M122" t="s">
        <v>12472</v>
      </c>
      <c r="N122">
        <v>41444</v>
      </c>
      <c r="O122" t="s">
        <v>12513</v>
      </c>
    </row>
    <row r="123" spans="1:15" x14ac:dyDescent="0.15">
      <c r="A123">
        <v>26910077</v>
      </c>
      <c r="B123">
        <v>31732191</v>
      </c>
      <c r="F123">
        <v>31331349</v>
      </c>
      <c r="G123" t="s">
        <v>12515</v>
      </c>
      <c r="H123" t="s">
        <v>12516</v>
      </c>
      <c r="I123" t="s">
        <v>12521</v>
      </c>
      <c r="J123" t="s">
        <v>12517</v>
      </c>
      <c r="K123" t="s">
        <v>12518</v>
      </c>
      <c r="L123">
        <v>2019</v>
      </c>
      <c r="M123" t="s">
        <v>12519</v>
      </c>
      <c r="N123">
        <v>43670</v>
      </c>
      <c r="O123" t="s">
        <v>12520</v>
      </c>
    </row>
    <row r="124" spans="1:15" x14ac:dyDescent="0.15">
      <c r="A124">
        <v>33176237</v>
      </c>
      <c r="B124">
        <v>28401635</v>
      </c>
      <c r="F124">
        <v>30301925</v>
      </c>
      <c r="G124" t="s">
        <v>12522</v>
      </c>
      <c r="H124" t="s">
        <v>12523</v>
      </c>
      <c r="I124" t="s">
        <v>12527</v>
      </c>
      <c r="J124" t="s">
        <v>12524</v>
      </c>
      <c r="K124" t="s">
        <v>12525</v>
      </c>
      <c r="L124">
        <v>2018</v>
      </c>
      <c r="M124" t="s">
        <v>11466</v>
      </c>
      <c r="N124">
        <v>43384</v>
      </c>
      <c r="O124" t="s">
        <v>12526</v>
      </c>
    </row>
    <row r="125" spans="1:15" x14ac:dyDescent="0.15">
      <c r="A125">
        <v>25772109</v>
      </c>
      <c r="B125">
        <v>25988257</v>
      </c>
      <c r="F125">
        <v>22100842</v>
      </c>
      <c r="G125" t="s">
        <v>12536</v>
      </c>
      <c r="H125" t="s">
        <v>12537</v>
      </c>
      <c r="J125" t="s">
        <v>12538</v>
      </c>
      <c r="K125" t="s">
        <v>12539</v>
      </c>
      <c r="L125">
        <v>2011</v>
      </c>
      <c r="M125" t="s">
        <v>12540</v>
      </c>
      <c r="N125">
        <v>40869</v>
      </c>
    </row>
    <row r="126" spans="1:15" x14ac:dyDescent="0.15">
      <c r="A126">
        <v>29130146</v>
      </c>
      <c r="B126">
        <v>26846451</v>
      </c>
      <c r="F126">
        <v>21102562</v>
      </c>
      <c r="G126" t="s">
        <v>12541</v>
      </c>
      <c r="H126" t="s">
        <v>12542</v>
      </c>
      <c r="I126" t="s">
        <v>12547</v>
      </c>
      <c r="J126" t="s">
        <v>12543</v>
      </c>
      <c r="K126" t="s">
        <v>12544</v>
      </c>
      <c r="L126">
        <v>2011</v>
      </c>
      <c r="M126" t="s">
        <v>12545</v>
      </c>
      <c r="N126">
        <v>40507</v>
      </c>
      <c r="O126" t="s">
        <v>12546</v>
      </c>
    </row>
    <row r="127" spans="1:15" x14ac:dyDescent="0.15">
      <c r="A127">
        <v>35199894</v>
      </c>
      <c r="B127">
        <v>29084979</v>
      </c>
      <c r="F127">
        <v>25945690</v>
      </c>
      <c r="G127" t="s">
        <v>12548</v>
      </c>
      <c r="H127" t="s">
        <v>12549</v>
      </c>
      <c r="I127" t="s">
        <v>12554</v>
      </c>
      <c r="J127" t="s">
        <v>12550</v>
      </c>
      <c r="K127" t="s">
        <v>12551</v>
      </c>
      <c r="L127">
        <v>2015</v>
      </c>
      <c r="M127" t="s">
        <v>12552</v>
      </c>
      <c r="N127">
        <v>42131</v>
      </c>
      <c r="O127" t="s">
        <v>12553</v>
      </c>
    </row>
    <row r="128" spans="1:15" x14ac:dyDescent="0.15">
      <c r="A128">
        <v>32132711</v>
      </c>
      <c r="B128">
        <v>28433888</v>
      </c>
      <c r="F128">
        <v>22315426</v>
      </c>
      <c r="G128" t="s">
        <v>12560</v>
      </c>
      <c r="H128" t="s">
        <v>12561</v>
      </c>
      <c r="I128" t="s">
        <v>12565</v>
      </c>
      <c r="J128" t="s">
        <v>12562</v>
      </c>
      <c r="K128" t="s">
        <v>12563</v>
      </c>
      <c r="L128">
        <v>2012</v>
      </c>
      <c r="M128" t="s">
        <v>11193</v>
      </c>
      <c r="N128">
        <v>40948</v>
      </c>
      <c r="O128" t="s">
        <v>12564</v>
      </c>
    </row>
    <row r="129" spans="1:16" x14ac:dyDescent="0.15">
      <c r="A129">
        <v>31892034</v>
      </c>
      <c r="B129">
        <v>24834468</v>
      </c>
      <c r="F129">
        <v>30412280</v>
      </c>
      <c r="G129" t="s">
        <v>12566</v>
      </c>
      <c r="H129" t="s">
        <v>12567</v>
      </c>
      <c r="I129" t="s">
        <v>12570</v>
      </c>
      <c r="J129" t="s">
        <v>12568</v>
      </c>
      <c r="K129" t="s">
        <v>12569</v>
      </c>
      <c r="L129">
        <v>2019</v>
      </c>
      <c r="M129" t="s">
        <v>11856</v>
      </c>
      <c r="N129">
        <v>43414</v>
      </c>
    </row>
    <row r="130" spans="1:16" x14ac:dyDescent="0.15">
      <c r="A130">
        <v>32722209</v>
      </c>
      <c r="B130">
        <v>35159179</v>
      </c>
      <c r="F130">
        <v>25955720</v>
      </c>
      <c r="G130" t="s">
        <v>12571</v>
      </c>
      <c r="H130" t="s">
        <v>12572</v>
      </c>
      <c r="I130" t="s">
        <v>12576</v>
      </c>
      <c r="J130" t="s">
        <v>12573</v>
      </c>
      <c r="K130" t="s">
        <v>12574</v>
      </c>
      <c r="L130">
        <v>2015</v>
      </c>
      <c r="M130" t="s">
        <v>11650</v>
      </c>
      <c r="N130">
        <v>42133</v>
      </c>
      <c r="O130" t="s">
        <v>12575</v>
      </c>
    </row>
    <row r="131" spans="1:16" x14ac:dyDescent="0.15">
      <c r="A131">
        <v>17127485</v>
      </c>
      <c r="B131">
        <v>33973465</v>
      </c>
      <c r="F131">
        <v>16240989</v>
      </c>
      <c r="G131" t="s">
        <v>12584</v>
      </c>
      <c r="H131" t="s">
        <v>12585</v>
      </c>
      <c r="J131" t="s">
        <v>12586</v>
      </c>
      <c r="K131" t="s">
        <v>12587</v>
      </c>
      <c r="L131">
        <v>2005</v>
      </c>
      <c r="M131" t="s">
        <v>12588</v>
      </c>
      <c r="N131">
        <v>38651</v>
      </c>
    </row>
    <row r="132" spans="1:16" x14ac:dyDescent="0.15">
      <c r="A132">
        <v>31235776</v>
      </c>
      <c r="B132">
        <v>26959653</v>
      </c>
      <c r="F132">
        <v>24022222</v>
      </c>
      <c r="G132" t="s">
        <v>12589</v>
      </c>
      <c r="H132" t="s">
        <v>12590</v>
      </c>
      <c r="I132" t="s">
        <v>12594</v>
      </c>
      <c r="J132" t="s">
        <v>12591</v>
      </c>
      <c r="K132" t="s">
        <v>12592</v>
      </c>
      <c r="L132">
        <v>2013</v>
      </c>
      <c r="M132" t="s">
        <v>12593</v>
      </c>
      <c r="N132">
        <v>41529</v>
      </c>
    </row>
    <row r="133" spans="1:16" x14ac:dyDescent="0.15">
      <c r="A133">
        <v>33106557</v>
      </c>
      <c r="B133">
        <v>31506601</v>
      </c>
      <c r="F133">
        <v>24487619</v>
      </c>
      <c r="G133" t="s">
        <v>12595</v>
      </c>
      <c r="H133" t="s">
        <v>12596</v>
      </c>
      <c r="I133" t="s">
        <v>12601</v>
      </c>
      <c r="J133" t="s">
        <v>12597</v>
      </c>
      <c r="K133" t="s">
        <v>12598</v>
      </c>
      <c r="L133">
        <v>2014</v>
      </c>
      <c r="M133" t="s">
        <v>11295</v>
      </c>
      <c r="N133">
        <v>41674</v>
      </c>
      <c r="O133" t="s">
        <v>12599</v>
      </c>
      <c r="P133" t="s">
        <v>12600</v>
      </c>
    </row>
    <row r="134" spans="1:16" x14ac:dyDescent="0.15">
      <c r="A134">
        <v>34127763</v>
      </c>
      <c r="B134">
        <v>33867829</v>
      </c>
      <c r="F134">
        <v>21376534</v>
      </c>
      <c r="G134" t="s">
        <v>12602</v>
      </c>
      <c r="H134" t="s">
        <v>12603</v>
      </c>
      <c r="I134" t="s">
        <v>12606</v>
      </c>
      <c r="J134" t="s">
        <v>12604</v>
      </c>
      <c r="K134" t="s">
        <v>12605</v>
      </c>
      <c r="L134">
        <v>2011</v>
      </c>
      <c r="M134" t="s">
        <v>12305</v>
      </c>
      <c r="N134">
        <v>40610</v>
      </c>
    </row>
    <row r="135" spans="1:16" x14ac:dyDescent="0.15">
      <c r="A135">
        <v>27652382</v>
      </c>
      <c r="B135">
        <v>26272609</v>
      </c>
      <c r="F135">
        <v>32004570</v>
      </c>
      <c r="G135" t="s">
        <v>12607</v>
      </c>
      <c r="H135" t="s">
        <v>12608</v>
      </c>
      <c r="I135" t="s">
        <v>12611</v>
      </c>
      <c r="J135" t="s">
        <v>12609</v>
      </c>
      <c r="K135" t="s">
        <v>12610</v>
      </c>
      <c r="L135">
        <v>2020</v>
      </c>
      <c r="M135" t="s">
        <v>11361</v>
      </c>
      <c r="N135">
        <v>43862</v>
      </c>
    </row>
    <row r="136" spans="1:16" x14ac:dyDescent="0.15">
      <c r="A136">
        <v>28807240</v>
      </c>
      <c r="B136">
        <v>29330365</v>
      </c>
      <c r="F136">
        <v>18974299</v>
      </c>
      <c r="G136" t="s">
        <v>12620</v>
      </c>
      <c r="H136" t="s">
        <v>12621</v>
      </c>
      <c r="I136" t="s">
        <v>12625</v>
      </c>
      <c r="J136" t="s">
        <v>12622</v>
      </c>
      <c r="K136" t="s">
        <v>11879</v>
      </c>
      <c r="L136">
        <v>2008</v>
      </c>
      <c r="M136" t="s">
        <v>12623</v>
      </c>
      <c r="N136">
        <v>39753</v>
      </c>
      <c r="O136" t="s">
        <v>12624</v>
      </c>
    </row>
    <row r="137" spans="1:16" x14ac:dyDescent="0.15">
      <c r="A137">
        <v>35453532</v>
      </c>
      <c r="B137">
        <v>15256559</v>
      </c>
      <c r="F137">
        <v>24816817</v>
      </c>
      <c r="G137" t="s">
        <v>12629</v>
      </c>
      <c r="H137" t="s">
        <v>12630</v>
      </c>
      <c r="I137" t="s">
        <v>12633</v>
      </c>
      <c r="J137" t="s">
        <v>12631</v>
      </c>
      <c r="K137" t="s">
        <v>12456</v>
      </c>
      <c r="L137">
        <v>2014</v>
      </c>
      <c r="M137" t="s">
        <v>11650</v>
      </c>
      <c r="N137">
        <v>41772</v>
      </c>
      <c r="O137" t="s">
        <v>12632</v>
      </c>
    </row>
    <row r="138" spans="1:16" x14ac:dyDescent="0.15">
      <c r="A138">
        <v>33789676</v>
      </c>
      <c r="B138">
        <v>32153563</v>
      </c>
      <c r="F138">
        <v>28878382</v>
      </c>
      <c r="G138" t="s">
        <v>12634</v>
      </c>
      <c r="H138" t="s">
        <v>12635</v>
      </c>
      <c r="I138" t="s">
        <v>12639</v>
      </c>
      <c r="J138" t="s">
        <v>12636</v>
      </c>
      <c r="K138" t="s">
        <v>12637</v>
      </c>
      <c r="L138">
        <v>2017</v>
      </c>
      <c r="M138" t="s">
        <v>11466</v>
      </c>
      <c r="N138">
        <v>42986</v>
      </c>
      <c r="O138" t="s">
        <v>12638</v>
      </c>
    </row>
    <row r="139" spans="1:16" x14ac:dyDescent="0.15">
      <c r="A139">
        <v>33040492</v>
      </c>
      <c r="B139">
        <v>31478613</v>
      </c>
      <c r="F139">
        <v>23303825</v>
      </c>
      <c r="G139" t="s">
        <v>12640</v>
      </c>
      <c r="H139" t="s">
        <v>12641</v>
      </c>
      <c r="I139" t="s">
        <v>12646</v>
      </c>
      <c r="J139" t="s">
        <v>12642</v>
      </c>
      <c r="K139" t="s">
        <v>12643</v>
      </c>
      <c r="L139">
        <v>2013</v>
      </c>
      <c r="M139" t="s">
        <v>12644</v>
      </c>
      <c r="N139">
        <v>41285</v>
      </c>
      <c r="O139" t="s">
        <v>12645</v>
      </c>
    </row>
    <row r="140" spans="1:16" x14ac:dyDescent="0.15">
      <c r="A140">
        <v>34247486</v>
      </c>
      <c r="B140">
        <v>33844518</v>
      </c>
      <c r="F140">
        <v>23873874</v>
      </c>
      <c r="G140" t="s">
        <v>12647</v>
      </c>
      <c r="H140" t="s">
        <v>12648</v>
      </c>
      <c r="I140" t="s">
        <v>12652</v>
      </c>
      <c r="J140" t="s">
        <v>12649</v>
      </c>
      <c r="K140" t="s">
        <v>12650</v>
      </c>
      <c r="L140">
        <v>2014</v>
      </c>
      <c r="M140" t="s">
        <v>12651</v>
      </c>
      <c r="N140">
        <v>41478</v>
      </c>
    </row>
    <row r="141" spans="1:16" x14ac:dyDescent="0.15">
      <c r="A141">
        <v>22984881</v>
      </c>
      <c r="B141">
        <v>24748612</v>
      </c>
      <c r="F141">
        <v>31262819</v>
      </c>
      <c r="G141" t="s">
        <v>12653</v>
      </c>
      <c r="H141" t="s">
        <v>12654</v>
      </c>
      <c r="I141" t="s">
        <v>12658</v>
      </c>
      <c r="J141" t="s">
        <v>12655</v>
      </c>
      <c r="K141" t="s">
        <v>12656</v>
      </c>
      <c r="L141">
        <v>2019</v>
      </c>
      <c r="M141" t="s">
        <v>11193</v>
      </c>
      <c r="N141">
        <v>43649</v>
      </c>
      <c r="O141" t="s">
        <v>12657</v>
      </c>
    </row>
    <row r="142" spans="1:16" x14ac:dyDescent="0.15">
      <c r="A142">
        <v>29162835</v>
      </c>
      <c r="B142">
        <v>30644724</v>
      </c>
      <c r="F142">
        <v>30521613</v>
      </c>
      <c r="G142" t="s">
        <v>12659</v>
      </c>
      <c r="H142" t="s">
        <v>12660</v>
      </c>
      <c r="I142" t="s">
        <v>12664</v>
      </c>
      <c r="J142" t="s">
        <v>12661</v>
      </c>
      <c r="K142" t="s">
        <v>12662</v>
      </c>
      <c r="L142">
        <v>2018</v>
      </c>
      <c r="M142" t="s">
        <v>11650</v>
      </c>
      <c r="N142">
        <v>43441</v>
      </c>
      <c r="O142" t="s">
        <v>12663</v>
      </c>
    </row>
    <row r="143" spans="1:16" x14ac:dyDescent="0.15">
      <c r="A143">
        <v>33494540</v>
      </c>
      <c r="B143">
        <v>20428099</v>
      </c>
      <c r="F143">
        <v>24245560</v>
      </c>
      <c r="G143" t="s">
        <v>12665</v>
      </c>
      <c r="H143" t="s">
        <v>12666</v>
      </c>
      <c r="I143" t="s">
        <v>12671</v>
      </c>
      <c r="J143" t="s">
        <v>12667</v>
      </c>
      <c r="K143" t="s">
        <v>12668</v>
      </c>
      <c r="L143">
        <v>2013</v>
      </c>
      <c r="M143" t="s">
        <v>12669</v>
      </c>
      <c r="N143">
        <v>41598</v>
      </c>
      <c r="O143" t="s">
        <v>12670</v>
      </c>
    </row>
    <row r="144" spans="1:16" x14ac:dyDescent="0.15">
      <c r="A144">
        <v>35216284</v>
      </c>
      <c r="B144">
        <v>24398677</v>
      </c>
      <c r="F144">
        <v>26098692</v>
      </c>
      <c r="G144" t="s">
        <v>12675</v>
      </c>
      <c r="H144" t="s">
        <v>12676</v>
      </c>
      <c r="I144" t="s">
        <v>12680</v>
      </c>
      <c r="J144" t="s">
        <v>12677</v>
      </c>
      <c r="K144" t="s">
        <v>12678</v>
      </c>
      <c r="L144">
        <v>2015</v>
      </c>
      <c r="M144" t="s">
        <v>11650</v>
      </c>
      <c r="N144">
        <v>42178</v>
      </c>
      <c r="O144" t="s">
        <v>12679</v>
      </c>
    </row>
    <row r="145" spans="1:16" x14ac:dyDescent="0.15">
      <c r="A145">
        <v>35623789</v>
      </c>
      <c r="B145">
        <v>21285958</v>
      </c>
      <c r="F145">
        <v>32343702</v>
      </c>
      <c r="G145" t="s">
        <v>12681</v>
      </c>
      <c r="H145" t="s">
        <v>12682</v>
      </c>
      <c r="I145" t="s">
        <v>12687</v>
      </c>
      <c r="J145" t="s">
        <v>12683</v>
      </c>
      <c r="K145" t="s">
        <v>12684</v>
      </c>
      <c r="L145">
        <v>2020</v>
      </c>
      <c r="M145" t="s">
        <v>12685</v>
      </c>
      <c r="N145">
        <v>43950</v>
      </c>
      <c r="O145" t="s">
        <v>12686</v>
      </c>
    </row>
    <row r="146" spans="1:16" x14ac:dyDescent="0.15">
      <c r="A146">
        <v>33224932</v>
      </c>
      <c r="B146">
        <v>27092489</v>
      </c>
      <c r="F146">
        <v>26554030</v>
      </c>
      <c r="G146" t="s">
        <v>12697</v>
      </c>
      <c r="H146" t="s">
        <v>12698</v>
      </c>
      <c r="I146" t="s">
        <v>12702</v>
      </c>
      <c r="J146" t="s">
        <v>12699</v>
      </c>
      <c r="K146" t="s">
        <v>12700</v>
      </c>
      <c r="L146">
        <v>2016</v>
      </c>
      <c r="M146" t="s">
        <v>2642</v>
      </c>
      <c r="N146">
        <v>42319</v>
      </c>
      <c r="O146" t="s">
        <v>12701</v>
      </c>
    </row>
    <row r="147" spans="1:16" x14ac:dyDescent="0.15">
      <c r="A147">
        <v>33217521</v>
      </c>
      <c r="B147">
        <v>15655551</v>
      </c>
      <c r="F147">
        <v>19940036</v>
      </c>
      <c r="G147" t="s">
        <v>12711</v>
      </c>
      <c r="H147" t="s">
        <v>12712</v>
      </c>
      <c r="I147" t="s">
        <v>12717</v>
      </c>
      <c r="J147" t="s">
        <v>12713</v>
      </c>
      <c r="K147" t="s">
        <v>12714</v>
      </c>
      <c r="L147">
        <v>2010</v>
      </c>
      <c r="M147" t="s">
        <v>12715</v>
      </c>
      <c r="N147">
        <v>40144</v>
      </c>
      <c r="O147" t="s">
        <v>12716</v>
      </c>
    </row>
    <row r="148" spans="1:16" x14ac:dyDescent="0.15">
      <c r="A148">
        <v>15655551</v>
      </c>
      <c r="B148">
        <v>30411781</v>
      </c>
      <c r="F148">
        <v>25339697</v>
      </c>
      <c r="G148" t="s">
        <v>12724</v>
      </c>
      <c r="H148" t="s">
        <v>12725</v>
      </c>
      <c r="I148" t="s">
        <v>12728</v>
      </c>
      <c r="J148" t="s">
        <v>12726</v>
      </c>
      <c r="K148" t="s">
        <v>12727</v>
      </c>
      <c r="L148">
        <v>2014</v>
      </c>
      <c r="M148" t="s">
        <v>12715</v>
      </c>
      <c r="N148">
        <v>41936</v>
      </c>
    </row>
    <row r="149" spans="1:16" x14ac:dyDescent="0.15">
      <c r="A149">
        <v>31063814</v>
      </c>
      <c r="B149">
        <v>35710947</v>
      </c>
      <c r="F149">
        <v>23483985</v>
      </c>
      <c r="G149" t="s">
        <v>12740</v>
      </c>
      <c r="H149" t="s">
        <v>12741</v>
      </c>
      <c r="I149" t="s">
        <v>12745</v>
      </c>
      <c r="J149" t="s">
        <v>12742</v>
      </c>
      <c r="K149" t="s">
        <v>12743</v>
      </c>
      <c r="L149">
        <v>2013</v>
      </c>
      <c r="M149" t="s">
        <v>11650</v>
      </c>
      <c r="N149">
        <v>41347</v>
      </c>
      <c r="O149" t="s">
        <v>12744</v>
      </c>
    </row>
    <row r="150" spans="1:16" x14ac:dyDescent="0.15">
      <c r="A150">
        <v>32293248</v>
      </c>
      <c r="B150">
        <v>30305607</v>
      </c>
      <c r="F150">
        <v>24259003</v>
      </c>
      <c r="G150" t="s">
        <v>12750</v>
      </c>
      <c r="H150" t="s">
        <v>12751</v>
      </c>
      <c r="I150" t="s">
        <v>12754</v>
      </c>
      <c r="J150" t="s">
        <v>12752</v>
      </c>
      <c r="K150" t="s">
        <v>12753</v>
      </c>
      <c r="L150">
        <v>2014</v>
      </c>
      <c r="M150" t="s">
        <v>11317</v>
      </c>
      <c r="N150">
        <v>41600</v>
      </c>
    </row>
    <row r="151" spans="1:16" x14ac:dyDescent="0.15">
      <c r="A151">
        <v>34999547</v>
      </c>
      <c r="B151">
        <v>28368488</v>
      </c>
      <c r="F151">
        <v>17448744</v>
      </c>
      <c r="G151" t="s">
        <v>12755</v>
      </c>
      <c r="H151" t="s">
        <v>12756</v>
      </c>
      <c r="I151" t="s">
        <v>12760</v>
      </c>
      <c r="J151" t="s">
        <v>12757</v>
      </c>
      <c r="K151" t="s">
        <v>12758</v>
      </c>
      <c r="L151">
        <v>2007</v>
      </c>
      <c r="M151" t="s">
        <v>12759</v>
      </c>
      <c r="N151">
        <v>39196</v>
      </c>
    </row>
    <row r="152" spans="1:16" x14ac:dyDescent="0.15">
      <c r="A152">
        <v>31582907</v>
      </c>
      <c r="B152">
        <v>28743887</v>
      </c>
      <c r="F152">
        <v>30971101</v>
      </c>
      <c r="G152" t="s">
        <v>12761</v>
      </c>
      <c r="H152" t="s">
        <v>12762</v>
      </c>
      <c r="I152" t="s">
        <v>12766</v>
      </c>
      <c r="J152" t="s">
        <v>12763</v>
      </c>
      <c r="K152" t="s">
        <v>12764</v>
      </c>
      <c r="L152">
        <v>2019</v>
      </c>
      <c r="M152" t="s">
        <v>12765</v>
      </c>
      <c r="N152">
        <v>43567</v>
      </c>
    </row>
    <row r="153" spans="1:16" x14ac:dyDescent="0.15">
      <c r="A153">
        <v>32165241</v>
      </c>
      <c r="B153">
        <v>34698812</v>
      </c>
      <c r="F153">
        <v>22074924</v>
      </c>
      <c r="G153" t="s">
        <v>12767</v>
      </c>
      <c r="H153" t="s">
        <v>12768</v>
      </c>
      <c r="I153" t="s">
        <v>12772</v>
      </c>
      <c r="J153" t="s">
        <v>12769</v>
      </c>
      <c r="K153" t="s">
        <v>12770</v>
      </c>
      <c r="L153">
        <v>2012</v>
      </c>
      <c r="M153" t="s">
        <v>11800</v>
      </c>
      <c r="N153">
        <v>40862</v>
      </c>
      <c r="O153" t="s">
        <v>12771</v>
      </c>
    </row>
    <row r="154" spans="1:16" x14ac:dyDescent="0.15">
      <c r="A154">
        <v>32326435</v>
      </c>
      <c r="B154">
        <v>25650727</v>
      </c>
      <c r="F154">
        <v>35658009</v>
      </c>
      <c r="G154" t="s">
        <v>12777</v>
      </c>
      <c r="H154" t="s">
        <v>12778</v>
      </c>
      <c r="I154" t="s">
        <v>12784</v>
      </c>
      <c r="J154" t="s">
        <v>12779</v>
      </c>
      <c r="K154" t="s">
        <v>12780</v>
      </c>
      <c r="L154">
        <v>2022</v>
      </c>
      <c r="M154" t="s">
        <v>12781</v>
      </c>
      <c r="N154">
        <v>44715</v>
      </c>
      <c r="O154" t="s">
        <v>12782</v>
      </c>
      <c r="P154" t="s">
        <v>12783</v>
      </c>
    </row>
    <row r="155" spans="1:16" x14ac:dyDescent="0.15">
      <c r="A155">
        <v>27385095</v>
      </c>
      <c r="B155">
        <v>24164173</v>
      </c>
      <c r="F155">
        <v>29357442</v>
      </c>
      <c r="G155" t="s">
        <v>12789</v>
      </c>
      <c r="H155" t="s">
        <v>12790</v>
      </c>
      <c r="I155" t="s">
        <v>12793</v>
      </c>
      <c r="J155" t="s">
        <v>12791</v>
      </c>
      <c r="K155" t="s">
        <v>12792</v>
      </c>
      <c r="L155">
        <v>2018</v>
      </c>
      <c r="M155" t="s">
        <v>12715</v>
      </c>
      <c r="N155">
        <v>43124</v>
      </c>
    </row>
    <row r="156" spans="1:16" x14ac:dyDescent="0.15">
      <c r="A156">
        <v>27506416</v>
      </c>
      <c r="B156">
        <v>30102952</v>
      </c>
      <c r="F156">
        <v>31043377</v>
      </c>
      <c r="G156" t="s">
        <v>12798</v>
      </c>
      <c r="H156" t="s">
        <v>12799</v>
      </c>
      <c r="I156" t="s">
        <v>12801</v>
      </c>
      <c r="J156" t="s">
        <v>12800</v>
      </c>
      <c r="K156" t="s">
        <v>12463</v>
      </c>
      <c r="L156">
        <v>2019</v>
      </c>
      <c r="M156" t="s">
        <v>12095</v>
      </c>
      <c r="N156">
        <v>43588</v>
      </c>
    </row>
    <row r="157" spans="1:16" x14ac:dyDescent="0.15">
      <c r="A157">
        <v>32813850</v>
      </c>
      <c r="B157">
        <v>35094679</v>
      </c>
      <c r="F157">
        <v>28592251</v>
      </c>
      <c r="G157" t="s">
        <v>12805</v>
      </c>
      <c r="H157" t="s">
        <v>12806</v>
      </c>
      <c r="I157" t="s">
        <v>12810</v>
      </c>
      <c r="J157" t="s">
        <v>12807</v>
      </c>
      <c r="K157" t="s">
        <v>12808</v>
      </c>
      <c r="L157">
        <v>2017</v>
      </c>
      <c r="M157" t="s">
        <v>12519</v>
      </c>
      <c r="N157">
        <v>42895</v>
      </c>
      <c r="O157" t="s">
        <v>12809</v>
      </c>
    </row>
    <row r="158" spans="1:16" x14ac:dyDescent="0.15">
      <c r="A158">
        <v>35663013</v>
      </c>
      <c r="B158">
        <v>35159325</v>
      </c>
      <c r="F158">
        <v>31285775</v>
      </c>
      <c r="G158" t="s">
        <v>12815</v>
      </c>
      <c r="H158" t="s">
        <v>12816</v>
      </c>
      <c r="I158" t="s">
        <v>12819</v>
      </c>
      <c r="J158" t="s">
        <v>12817</v>
      </c>
      <c r="K158" t="s">
        <v>12453</v>
      </c>
      <c r="L158">
        <v>2019</v>
      </c>
      <c r="M158" t="s">
        <v>11172</v>
      </c>
      <c r="N158">
        <v>43656</v>
      </c>
      <c r="O158" t="s">
        <v>12818</v>
      </c>
    </row>
    <row r="159" spans="1:16" x14ac:dyDescent="0.15">
      <c r="A159">
        <v>32600436</v>
      </c>
      <c r="B159">
        <v>27071670</v>
      </c>
      <c r="F159">
        <v>7077301</v>
      </c>
      <c r="G159" t="s">
        <v>12833</v>
      </c>
      <c r="H159" t="s">
        <v>12834</v>
      </c>
      <c r="I159" t="s">
        <v>12838</v>
      </c>
      <c r="J159" t="s">
        <v>12835</v>
      </c>
      <c r="K159" t="s">
        <v>12836</v>
      </c>
      <c r="L159">
        <v>1982</v>
      </c>
      <c r="M159" t="s">
        <v>12837</v>
      </c>
      <c r="N159">
        <v>30042</v>
      </c>
    </row>
    <row r="160" spans="1:16" x14ac:dyDescent="0.15">
      <c r="A160">
        <v>25678142</v>
      </c>
      <c r="B160">
        <v>35301052</v>
      </c>
      <c r="F160">
        <v>21248205</v>
      </c>
      <c r="G160" t="s">
        <v>12839</v>
      </c>
      <c r="H160" t="s">
        <v>12840</v>
      </c>
      <c r="I160" t="s">
        <v>12845</v>
      </c>
      <c r="J160" t="s">
        <v>12841</v>
      </c>
      <c r="K160" t="s">
        <v>12842</v>
      </c>
      <c r="L160">
        <v>2011</v>
      </c>
      <c r="M160" t="s">
        <v>12843</v>
      </c>
      <c r="N160">
        <v>40564</v>
      </c>
      <c r="O160" t="s">
        <v>12844</v>
      </c>
    </row>
    <row r="161" spans="1:15" x14ac:dyDescent="0.15">
      <c r="A161">
        <v>24939845</v>
      </c>
      <c r="B161">
        <v>30206166</v>
      </c>
      <c r="F161">
        <v>22504169</v>
      </c>
      <c r="G161" t="s">
        <v>12846</v>
      </c>
      <c r="H161" t="s">
        <v>12847</v>
      </c>
      <c r="I161" t="s">
        <v>12850</v>
      </c>
      <c r="J161" t="s">
        <v>12848</v>
      </c>
      <c r="K161" t="s">
        <v>12849</v>
      </c>
      <c r="L161">
        <v>2012</v>
      </c>
      <c r="M161" t="s">
        <v>12276</v>
      </c>
      <c r="N161">
        <v>41016</v>
      </c>
    </row>
    <row r="162" spans="1:15" x14ac:dyDescent="0.15">
      <c r="A162">
        <v>32932765</v>
      </c>
      <c r="B162">
        <v>25678142</v>
      </c>
      <c r="F162">
        <v>18802920</v>
      </c>
      <c r="G162" t="s">
        <v>12851</v>
      </c>
      <c r="H162" t="s">
        <v>12852</v>
      </c>
      <c r="I162" t="s">
        <v>12855</v>
      </c>
      <c r="J162" t="s">
        <v>12853</v>
      </c>
      <c r="K162" t="s">
        <v>12854</v>
      </c>
      <c r="L162">
        <v>2008</v>
      </c>
      <c r="M162" t="s">
        <v>11435</v>
      </c>
      <c r="N162">
        <v>39711</v>
      </c>
    </row>
    <row r="163" spans="1:15" x14ac:dyDescent="0.15">
      <c r="A163">
        <v>28636071</v>
      </c>
      <c r="B163">
        <v>32600030</v>
      </c>
      <c r="F163">
        <v>12885772</v>
      </c>
      <c r="G163" t="s">
        <v>12863</v>
      </c>
      <c r="H163" t="s">
        <v>12864</v>
      </c>
      <c r="I163" t="s">
        <v>12867</v>
      </c>
      <c r="J163" t="s">
        <v>12865</v>
      </c>
      <c r="K163" t="s">
        <v>12866</v>
      </c>
      <c r="L163">
        <v>2003</v>
      </c>
      <c r="M163" t="s">
        <v>11800</v>
      </c>
      <c r="N163">
        <v>37832</v>
      </c>
    </row>
    <row r="164" spans="1:15" x14ac:dyDescent="0.15">
      <c r="A164">
        <v>29600371</v>
      </c>
      <c r="B164">
        <v>33304477</v>
      </c>
      <c r="F164">
        <v>23315742</v>
      </c>
      <c r="G164" t="s">
        <v>12868</v>
      </c>
      <c r="H164" t="s">
        <v>12869</v>
      </c>
      <c r="I164" t="s">
        <v>12874</v>
      </c>
      <c r="J164" t="s">
        <v>12870</v>
      </c>
      <c r="K164" t="s">
        <v>12871</v>
      </c>
      <c r="L164">
        <v>2013</v>
      </c>
      <c r="M164" t="s">
        <v>12872</v>
      </c>
      <c r="N164">
        <v>41289</v>
      </c>
      <c r="O164" t="s">
        <v>12873</v>
      </c>
    </row>
    <row r="165" spans="1:15" x14ac:dyDescent="0.15">
      <c r="A165">
        <v>35682646</v>
      </c>
      <c r="B165">
        <v>29162835</v>
      </c>
      <c r="F165">
        <v>15136153</v>
      </c>
      <c r="G165" t="s">
        <v>12875</v>
      </c>
      <c r="H165" t="s">
        <v>12876</v>
      </c>
      <c r="I165" t="s">
        <v>12880</v>
      </c>
      <c r="J165" t="s">
        <v>12877</v>
      </c>
      <c r="K165" t="s">
        <v>12878</v>
      </c>
      <c r="L165">
        <v>2004</v>
      </c>
      <c r="M165" t="s">
        <v>12879</v>
      </c>
      <c r="N165">
        <v>38119</v>
      </c>
    </row>
    <row r="166" spans="1:15" x14ac:dyDescent="0.15">
      <c r="A166">
        <v>34236496</v>
      </c>
      <c r="B166">
        <v>26150337</v>
      </c>
      <c r="F166">
        <v>20964628</v>
      </c>
      <c r="G166" t="s">
        <v>12881</v>
      </c>
      <c r="H166" t="s">
        <v>12882</v>
      </c>
      <c r="I166" t="s">
        <v>12886</v>
      </c>
      <c r="J166" t="s">
        <v>12883</v>
      </c>
      <c r="K166" t="s">
        <v>12884</v>
      </c>
      <c r="L166">
        <v>2011</v>
      </c>
      <c r="M166" t="s">
        <v>12885</v>
      </c>
      <c r="N166">
        <v>40474</v>
      </c>
    </row>
    <row r="167" spans="1:15" x14ac:dyDescent="0.15">
      <c r="A167">
        <v>21049390</v>
      </c>
      <c r="B167">
        <v>25713383</v>
      </c>
      <c r="F167">
        <v>1418007</v>
      </c>
      <c r="G167" t="s">
        <v>12887</v>
      </c>
      <c r="H167" t="s">
        <v>12888</v>
      </c>
      <c r="I167" t="s">
        <v>12892</v>
      </c>
      <c r="J167" t="s">
        <v>12889</v>
      </c>
      <c r="K167" t="s">
        <v>12890</v>
      </c>
      <c r="L167">
        <v>1992</v>
      </c>
      <c r="M167" t="s">
        <v>12891</v>
      </c>
      <c r="N167">
        <v>33888</v>
      </c>
    </row>
    <row r="168" spans="1:15" x14ac:dyDescent="0.15">
      <c r="A168">
        <v>34692681</v>
      </c>
      <c r="B168">
        <v>26172304</v>
      </c>
      <c r="F168">
        <v>22143786</v>
      </c>
      <c r="G168" t="s">
        <v>12893</v>
      </c>
      <c r="H168" t="s">
        <v>12894</v>
      </c>
      <c r="I168" t="s">
        <v>12898</v>
      </c>
      <c r="J168" t="s">
        <v>12895</v>
      </c>
      <c r="K168" t="s">
        <v>12896</v>
      </c>
      <c r="L168">
        <v>2011</v>
      </c>
      <c r="M168" t="s">
        <v>11193</v>
      </c>
      <c r="N168">
        <v>40884</v>
      </c>
      <c r="O168" t="s">
        <v>12897</v>
      </c>
    </row>
    <row r="169" spans="1:15" x14ac:dyDescent="0.15">
      <c r="A169">
        <v>23663360</v>
      </c>
      <c r="B169">
        <v>14963039</v>
      </c>
      <c r="F169">
        <v>22701748</v>
      </c>
      <c r="G169" t="s">
        <v>12904</v>
      </c>
      <c r="H169" t="s">
        <v>12905</v>
      </c>
      <c r="I169" t="s">
        <v>12909</v>
      </c>
      <c r="J169" t="s">
        <v>12906</v>
      </c>
      <c r="K169" t="s">
        <v>12907</v>
      </c>
      <c r="L169">
        <v>2012</v>
      </c>
      <c r="M169" t="s">
        <v>11650</v>
      </c>
      <c r="N169">
        <v>41076</v>
      </c>
      <c r="O169" t="s">
        <v>12908</v>
      </c>
    </row>
    <row r="170" spans="1:15" x14ac:dyDescent="0.15">
      <c r="A170">
        <v>24458310</v>
      </c>
      <c r="B170">
        <v>29434260</v>
      </c>
      <c r="F170">
        <v>35323012</v>
      </c>
      <c r="G170" t="s">
        <v>12910</v>
      </c>
      <c r="H170" t="s">
        <v>12911</v>
      </c>
      <c r="I170" t="s">
        <v>12914</v>
      </c>
      <c r="J170" t="s">
        <v>12912</v>
      </c>
      <c r="K170" t="s">
        <v>12913</v>
      </c>
      <c r="L170">
        <v>2022</v>
      </c>
      <c r="M170" t="s">
        <v>11453</v>
      </c>
      <c r="N170">
        <v>44644</v>
      </c>
    </row>
    <row r="171" spans="1:15" x14ac:dyDescent="0.15">
      <c r="A171">
        <v>29145073</v>
      </c>
      <c r="B171">
        <v>34906563</v>
      </c>
      <c r="F171">
        <v>31138886</v>
      </c>
      <c r="G171" t="s">
        <v>12915</v>
      </c>
      <c r="H171" t="s">
        <v>12916</v>
      </c>
      <c r="I171" t="s">
        <v>12919</v>
      </c>
      <c r="J171" t="s">
        <v>12917</v>
      </c>
      <c r="K171" t="s">
        <v>12253</v>
      </c>
      <c r="L171">
        <v>2019</v>
      </c>
      <c r="M171" t="s">
        <v>11466</v>
      </c>
      <c r="N171">
        <v>43615</v>
      </c>
      <c r="O171" t="s">
        <v>12918</v>
      </c>
    </row>
    <row r="172" spans="1:15" x14ac:dyDescent="0.15">
      <c r="A172">
        <v>31371728</v>
      </c>
      <c r="B172">
        <v>25040043</v>
      </c>
      <c r="F172">
        <v>24933019</v>
      </c>
      <c r="G172" t="s">
        <v>12929</v>
      </c>
      <c r="H172" t="s">
        <v>12930</v>
      </c>
      <c r="I172" t="s">
        <v>12934</v>
      </c>
      <c r="J172" t="s">
        <v>12931</v>
      </c>
      <c r="K172" t="s">
        <v>12932</v>
      </c>
      <c r="L172">
        <v>2014</v>
      </c>
      <c r="M172" t="s">
        <v>11650</v>
      </c>
      <c r="N172">
        <v>41807</v>
      </c>
      <c r="O172" t="s">
        <v>12933</v>
      </c>
    </row>
    <row r="173" spans="1:15" x14ac:dyDescent="0.15">
      <c r="A173">
        <v>30254196</v>
      </c>
      <c r="B173">
        <v>21555566</v>
      </c>
      <c r="F173">
        <v>22505472</v>
      </c>
      <c r="G173" t="s">
        <v>12935</v>
      </c>
      <c r="H173" t="s">
        <v>12936</v>
      </c>
      <c r="I173" t="s">
        <v>12939</v>
      </c>
      <c r="J173" t="s">
        <v>12937</v>
      </c>
      <c r="K173" t="s">
        <v>12938</v>
      </c>
      <c r="L173">
        <v>2012</v>
      </c>
      <c r="M173" t="s">
        <v>11962</v>
      </c>
      <c r="N173">
        <v>41016</v>
      </c>
    </row>
    <row r="174" spans="1:15" x14ac:dyDescent="0.15">
      <c r="A174">
        <v>29343810</v>
      </c>
      <c r="B174">
        <v>9368286</v>
      </c>
      <c r="F174">
        <v>29648974</v>
      </c>
      <c r="G174" t="s">
        <v>12953</v>
      </c>
      <c r="H174" t="s">
        <v>12954</v>
      </c>
      <c r="I174" t="s">
        <v>12959</v>
      </c>
      <c r="J174" t="s">
        <v>12955</v>
      </c>
      <c r="K174" t="s">
        <v>12956</v>
      </c>
      <c r="L174">
        <v>2018</v>
      </c>
      <c r="M174" t="s">
        <v>12957</v>
      </c>
      <c r="N174">
        <v>43203</v>
      </c>
      <c r="O174" t="s">
        <v>12958</v>
      </c>
    </row>
    <row r="175" spans="1:15" x14ac:dyDescent="0.15">
      <c r="A175">
        <v>34453041</v>
      </c>
      <c r="B175">
        <v>21893226</v>
      </c>
      <c r="F175">
        <v>10652961</v>
      </c>
      <c r="G175" t="s">
        <v>12960</v>
      </c>
      <c r="H175" t="s">
        <v>12961</v>
      </c>
      <c r="I175" t="s">
        <v>12965</v>
      </c>
      <c r="J175" t="s">
        <v>12962</v>
      </c>
      <c r="K175" t="s">
        <v>12963</v>
      </c>
      <c r="L175">
        <v>2000</v>
      </c>
      <c r="M175" t="s">
        <v>12964</v>
      </c>
      <c r="N175">
        <v>36557</v>
      </c>
    </row>
    <row r="176" spans="1:15" x14ac:dyDescent="0.15">
      <c r="A176">
        <v>32446697</v>
      </c>
      <c r="B176">
        <v>27117590</v>
      </c>
      <c r="F176">
        <v>7961777</v>
      </c>
      <c r="G176" t="s">
        <v>12970</v>
      </c>
      <c r="H176" t="s">
        <v>12971</v>
      </c>
      <c r="J176" t="s">
        <v>12972</v>
      </c>
      <c r="K176" t="s">
        <v>12973</v>
      </c>
      <c r="L176">
        <v>1994</v>
      </c>
      <c r="M176" t="s">
        <v>11800</v>
      </c>
      <c r="N176">
        <v>34649</v>
      </c>
    </row>
    <row r="177" spans="1:16" x14ac:dyDescent="0.15">
      <c r="A177" t="s">
        <v>74</v>
      </c>
      <c r="B177">
        <v>23580760</v>
      </c>
      <c r="F177">
        <v>35605028</v>
      </c>
      <c r="G177" t="s">
        <v>12974</v>
      </c>
      <c r="H177" t="s">
        <v>12975</v>
      </c>
      <c r="I177" t="s">
        <v>12980</v>
      </c>
      <c r="J177" t="s">
        <v>12976</v>
      </c>
      <c r="K177" t="s">
        <v>12977</v>
      </c>
      <c r="L177">
        <v>2022</v>
      </c>
      <c r="M177" t="s">
        <v>12978</v>
      </c>
      <c r="N177">
        <v>44704</v>
      </c>
      <c r="O177" t="s">
        <v>12979</v>
      </c>
    </row>
    <row r="178" spans="1:16" x14ac:dyDescent="0.15">
      <c r="A178">
        <v>34739016</v>
      </c>
      <c r="B178">
        <v>9326278</v>
      </c>
      <c r="F178">
        <v>30346568</v>
      </c>
      <c r="G178" t="s">
        <v>12981</v>
      </c>
      <c r="H178" t="s">
        <v>12982</v>
      </c>
      <c r="I178" t="s">
        <v>12986</v>
      </c>
      <c r="J178" t="s">
        <v>12983</v>
      </c>
      <c r="K178" t="s">
        <v>12984</v>
      </c>
      <c r="L178">
        <v>2019</v>
      </c>
      <c r="M178" t="s">
        <v>11871</v>
      </c>
      <c r="N178">
        <v>43396</v>
      </c>
      <c r="O178" t="s">
        <v>12985</v>
      </c>
    </row>
    <row r="179" spans="1:16" x14ac:dyDescent="0.15">
      <c r="A179">
        <v>33973465</v>
      </c>
      <c r="B179">
        <v>23590857</v>
      </c>
      <c r="F179">
        <v>19832990</v>
      </c>
      <c r="G179" t="s">
        <v>12987</v>
      </c>
      <c r="H179" t="s">
        <v>12988</v>
      </c>
      <c r="I179" t="s">
        <v>12992</v>
      </c>
      <c r="J179" t="s">
        <v>12989</v>
      </c>
      <c r="K179" t="s">
        <v>12990</v>
      </c>
      <c r="L179">
        <v>2009</v>
      </c>
      <c r="M179" t="s">
        <v>12110</v>
      </c>
      <c r="N179">
        <v>40103</v>
      </c>
      <c r="O179" t="s">
        <v>12991</v>
      </c>
    </row>
    <row r="180" spans="1:16" x14ac:dyDescent="0.15">
      <c r="A180">
        <v>32797865</v>
      </c>
      <c r="B180">
        <v>34837760</v>
      </c>
      <c r="F180">
        <v>24211404</v>
      </c>
      <c r="G180" t="s">
        <v>12993</v>
      </c>
      <c r="H180" t="s">
        <v>12994</v>
      </c>
      <c r="I180" t="s">
        <v>12998</v>
      </c>
      <c r="J180" t="s">
        <v>12995</v>
      </c>
      <c r="K180" t="s">
        <v>12996</v>
      </c>
      <c r="L180">
        <v>2014</v>
      </c>
      <c r="M180" t="s">
        <v>12997</v>
      </c>
      <c r="N180">
        <v>41590</v>
      </c>
    </row>
    <row r="181" spans="1:16" x14ac:dyDescent="0.15">
      <c r="A181">
        <v>28677360</v>
      </c>
      <c r="B181">
        <v>35199894</v>
      </c>
      <c r="F181">
        <v>23182441</v>
      </c>
      <c r="G181" t="s">
        <v>12999</v>
      </c>
      <c r="H181" t="s">
        <v>13000</v>
      </c>
      <c r="I181" t="s">
        <v>13004</v>
      </c>
      <c r="J181" t="s">
        <v>13001</v>
      </c>
      <c r="K181" t="s">
        <v>13002</v>
      </c>
      <c r="L181">
        <v>2013</v>
      </c>
      <c r="M181" t="s">
        <v>13003</v>
      </c>
      <c r="N181">
        <v>41241</v>
      </c>
    </row>
    <row r="182" spans="1:16" x14ac:dyDescent="0.15">
      <c r="A182">
        <v>31466323</v>
      </c>
      <c r="B182">
        <v>11746262</v>
      </c>
      <c r="F182">
        <v>31074077</v>
      </c>
      <c r="G182" t="s">
        <v>13010</v>
      </c>
      <c r="H182" t="s">
        <v>13011</v>
      </c>
      <c r="I182" t="s">
        <v>13016</v>
      </c>
      <c r="J182" t="s">
        <v>13012</v>
      </c>
      <c r="K182" t="s">
        <v>13013</v>
      </c>
      <c r="L182">
        <v>2019</v>
      </c>
      <c r="M182" t="s">
        <v>13014</v>
      </c>
      <c r="N182">
        <v>43596</v>
      </c>
      <c r="O182" t="s">
        <v>13015</v>
      </c>
    </row>
    <row r="183" spans="1:16" x14ac:dyDescent="0.15">
      <c r="A183">
        <v>32602227</v>
      </c>
      <c r="B183">
        <v>10907991</v>
      </c>
      <c r="F183">
        <v>23284625</v>
      </c>
      <c r="G183" t="s">
        <v>13017</v>
      </c>
      <c r="H183" t="s">
        <v>13018</v>
      </c>
      <c r="I183" t="s">
        <v>13022</v>
      </c>
      <c r="J183" t="s">
        <v>13019</v>
      </c>
      <c r="K183" t="s">
        <v>13020</v>
      </c>
      <c r="L183">
        <v>2012</v>
      </c>
      <c r="M183" t="s">
        <v>11650</v>
      </c>
      <c r="N183">
        <v>41278</v>
      </c>
      <c r="O183" t="s">
        <v>13021</v>
      </c>
    </row>
    <row r="184" spans="1:16" x14ac:dyDescent="0.15">
      <c r="A184">
        <v>34858034</v>
      </c>
      <c r="B184">
        <v>24499465</v>
      </c>
      <c r="F184">
        <v>31150422</v>
      </c>
      <c r="G184" t="s">
        <v>13034</v>
      </c>
      <c r="H184" t="s">
        <v>13035</v>
      </c>
      <c r="I184" t="s">
        <v>13039</v>
      </c>
      <c r="J184" t="s">
        <v>13036</v>
      </c>
      <c r="K184" t="s">
        <v>13037</v>
      </c>
      <c r="L184">
        <v>2019</v>
      </c>
      <c r="M184" t="s">
        <v>11650</v>
      </c>
      <c r="N184">
        <v>43617</v>
      </c>
      <c r="O184" t="s">
        <v>13038</v>
      </c>
    </row>
    <row r="185" spans="1:16" x14ac:dyDescent="0.15">
      <c r="A185">
        <v>28412169</v>
      </c>
      <c r="B185">
        <v>34962643</v>
      </c>
      <c r="F185">
        <v>34907783</v>
      </c>
      <c r="G185" t="s">
        <v>13040</v>
      </c>
      <c r="H185" t="s">
        <v>13041</v>
      </c>
      <c r="I185" t="s">
        <v>13045</v>
      </c>
      <c r="J185" t="s">
        <v>13042</v>
      </c>
      <c r="K185" t="s">
        <v>13043</v>
      </c>
      <c r="L185">
        <v>2022</v>
      </c>
      <c r="M185" t="s">
        <v>13044</v>
      </c>
      <c r="N185">
        <v>44545</v>
      </c>
    </row>
    <row r="186" spans="1:16" x14ac:dyDescent="0.15">
      <c r="A186">
        <v>33669497</v>
      </c>
      <c r="B186">
        <v>17286953</v>
      </c>
      <c r="F186">
        <v>20329788</v>
      </c>
      <c r="G186" t="s">
        <v>13046</v>
      </c>
      <c r="H186" t="s">
        <v>13047</v>
      </c>
      <c r="I186" t="s">
        <v>13051</v>
      </c>
      <c r="J186" t="s">
        <v>13048</v>
      </c>
      <c r="K186" t="s">
        <v>13049</v>
      </c>
      <c r="L186">
        <v>2010</v>
      </c>
      <c r="M186" t="s">
        <v>13050</v>
      </c>
      <c r="N186">
        <v>40262</v>
      </c>
    </row>
    <row r="187" spans="1:16" x14ac:dyDescent="0.15">
      <c r="A187">
        <v>33637947</v>
      </c>
      <c r="B187">
        <v>9180905</v>
      </c>
      <c r="F187">
        <v>7945469</v>
      </c>
      <c r="G187" t="s">
        <v>13052</v>
      </c>
      <c r="H187" t="s">
        <v>13053</v>
      </c>
      <c r="I187" t="s">
        <v>13056</v>
      </c>
      <c r="J187" t="s">
        <v>13054</v>
      </c>
      <c r="K187" t="s">
        <v>13055</v>
      </c>
      <c r="L187">
        <v>1994</v>
      </c>
      <c r="M187" t="s">
        <v>12891</v>
      </c>
      <c r="N187">
        <v>34608</v>
      </c>
    </row>
    <row r="188" spans="1:16" x14ac:dyDescent="0.15">
      <c r="A188">
        <v>30371719</v>
      </c>
      <c r="B188">
        <v>21491915</v>
      </c>
      <c r="F188">
        <v>15031288</v>
      </c>
      <c r="G188" t="s">
        <v>13066</v>
      </c>
      <c r="H188" t="s">
        <v>13067</v>
      </c>
      <c r="I188" t="s">
        <v>13070</v>
      </c>
      <c r="J188" t="s">
        <v>13068</v>
      </c>
      <c r="K188" t="s">
        <v>13069</v>
      </c>
      <c r="L188">
        <v>2004</v>
      </c>
      <c r="M188" t="s">
        <v>11800</v>
      </c>
      <c r="N188">
        <v>38066</v>
      </c>
    </row>
    <row r="189" spans="1:16" x14ac:dyDescent="0.15">
      <c r="A189">
        <v>31002856</v>
      </c>
      <c r="B189">
        <v>26018205</v>
      </c>
      <c r="F189">
        <v>28392234</v>
      </c>
      <c r="G189" t="s">
        <v>13071</v>
      </c>
      <c r="H189" t="s">
        <v>13072</v>
      </c>
      <c r="I189" t="s">
        <v>13078</v>
      </c>
      <c r="J189" t="s">
        <v>13073</v>
      </c>
      <c r="K189" t="s">
        <v>13074</v>
      </c>
      <c r="L189">
        <v>2017</v>
      </c>
      <c r="M189" t="s">
        <v>13075</v>
      </c>
      <c r="N189">
        <v>42836</v>
      </c>
      <c r="O189" t="s">
        <v>13076</v>
      </c>
      <c r="P189" t="s">
        <v>13077</v>
      </c>
    </row>
    <row r="190" spans="1:16" x14ac:dyDescent="0.15">
      <c r="A190">
        <v>32154493</v>
      </c>
      <c r="B190">
        <v>35042294</v>
      </c>
      <c r="F190">
        <v>23696541</v>
      </c>
      <c r="G190" t="s">
        <v>13079</v>
      </c>
      <c r="H190" t="s">
        <v>13080</v>
      </c>
      <c r="I190" t="s">
        <v>13084</v>
      </c>
      <c r="J190" t="s">
        <v>13081</v>
      </c>
      <c r="K190" t="s">
        <v>13082</v>
      </c>
      <c r="L190">
        <v>2013</v>
      </c>
      <c r="M190" t="s">
        <v>13083</v>
      </c>
      <c r="N190">
        <v>41417</v>
      </c>
    </row>
    <row r="191" spans="1:16" x14ac:dyDescent="0.15">
      <c r="A191">
        <v>35094679</v>
      </c>
      <c r="B191">
        <v>35044159</v>
      </c>
      <c r="F191">
        <v>16583463</v>
      </c>
      <c r="G191" t="s">
        <v>13085</v>
      </c>
      <c r="H191" t="s">
        <v>13086</v>
      </c>
      <c r="J191" t="s">
        <v>13087</v>
      </c>
      <c r="K191" t="s">
        <v>13088</v>
      </c>
      <c r="L191">
        <v>2006</v>
      </c>
      <c r="M191" t="s">
        <v>13089</v>
      </c>
      <c r="N191">
        <v>38811</v>
      </c>
    </row>
    <row r="192" spans="1:16" x14ac:dyDescent="0.15">
      <c r="A192">
        <v>31182116</v>
      </c>
      <c r="B192">
        <v>7745687</v>
      </c>
      <c r="F192">
        <v>33734019</v>
      </c>
      <c r="G192" t="s">
        <v>13090</v>
      </c>
      <c r="H192" t="s">
        <v>13091</v>
      </c>
      <c r="I192" t="s">
        <v>13096</v>
      </c>
      <c r="J192" t="s">
        <v>13092</v>
      </c>
      <c r="K192" t="s">
        <v>13093</v>
      </c>
      <c r="L192">
        <v>2022</v>
      </c>
      <c r="M192" t="s">
        <v>13094</v>
      </c>
      <c r="N192">
        <v>44273</v>
      </c>
      <c r="O192" t="s">
        <v>13095</v>
      </c>
    </row>
    <row r="193" spans="1:15" x14ac:dyDescent="0.15">
      <c r="A193">
        <v>33435996</v>
      </c>
      <c r="B193">
        <v>1649554</v>
      </c>
      <c r="F193">
        <v>20631136</v>
      </c>
      <c r="G193" t="s">
        <v>13097</v>
      </c>
      <c r="H193" t="s">
        <v>13098</v>
      </c>
      <c r="I193" t="s">
        <v>13103</v>
      </c>
      <c r="J193" t="s">
        <v>13099</v>
      </c>
      <c r="K193" t="s">
        <v>13100</v>
      </c>
      <c r="L193">
        <v>2010</v>
      </c>
      <c r="M193" t="s">
        <v>13101</v>
      </c>
      <c r="N193">
        <v>40375</v>
      </c>
      <c r="O193" t="s">
        <v>13102</v>
      </c>
    </row>
    <row r="194" spans="1:15" x14ac:dyDescent="0.15">
      <c r="A194">
        <v>35682592</v>
      </c>
      <c r="B194">
        <v>11352238</v>
      </c>
      <c r="F194">
        <v>3007532</v>
      </c>
      <c r="G194" t="s">
        <v>13104</v>
      </c>
      <c r="H194" t="s">
        <v>13105</v>
      </c>
      <c r="I194" t="s">
        <v>13110</v>
      </c>
      <c r="J194" t="s">
        <v>13106</v>
      </c>
      <c r="K194" t="s">
        <v>13107</v>
      </c>
      <c r="L194">
        <v>1986</v>
      </c>
      <c r="M194" t="s">
        <v>13108</v>
      </c>
      <c r="N194">
        <v>31503</v>
      </c>
      <c r="O194" t="s">
        <v>13109</v>
      </c>
    </row>
    <row r="195" spans="1:15" x14ac:dyDescent="0.15">
      <c r="A195">
        <v>19143024</v>
      </c>
      <c r="B195">
        <v>10532697</v>
      </c>
      <c r="F195">
        <v>35605011</v>
      </c>
      <c r="G195" t="s">
        <v>13111</v>
      </c>
      <c r="H195" t="s">
        <v>13112</v>
      </c>
      <c r="I195" t="s">
        <v>13116</v>
      </c>
      <c r="J195" t="s">
        <v>13113</v>
      </c>
      <c r="K195" t="s">
        <v>13114</v>
      </c>
      <c r="L195">
        <v>2022</v>
      </c>
      <c r="M195" t="s">
        <v>12062</v>
      </c>
      <c r="N195">
        <v>44704</v>
      </c>
      <c r="O195" t="s">
        <v>13115</v>
      </c>
    </row>
    <row r="196" spans="1:15" x14ac:dyDescent="0.15">
      <c r="A196">
        <v>35474906</v>
      </c>
      <c r="B196">
        <v>9652412</v>
      </c>
      <c r="F196">
        <v>22723882</v>
      </c>
      <c r="G196" t="s">
        <v>13117</v>
      </c>
      <c r="H196" t="s">
        <v>13118</v>
      </c>
      <c r="I196" t="s">
        <v>10476</v>
      </c>
      <c r="J196" t="s">
        <v>13119</v>
      </c>
      <c r="K196" t="s">
        <v>13120</v>
      </c>
      <c r="L196">
        <v>2012</v>
      </c>
      <c r="M196" t="s">
        <v>11650</v>
      </c>
      <c r="N196">
        <v>41083</v>
      </c>
      <c r="O196" t="s">
        <v>13121</v>
      </c>
    </row>
    <row r="197" spans="1:15" x14ac:dyDescent="0.15">
      <c r="A197">
        <v>30128086</v>
      </c>
      <c r="B197">
        <v>22192456</v>
      </c>
      <c r="F197">
        <v>22238051</v>
      </c>
      <c r="G197" t="s">
        <v>13122</v>
      </c>
      <c r="H197" t="s">
        <v>13123</v>
      </c>
      <c r="I197" t="s">
        <v>13126</v>
      </c>
      <c r="J197" t="s">
        <v>13124</v>
      </c>
      <c r="K197" t="s">
        <v>13125</v>
      </c>
      <c r="L197">
        <v>2012</v>
      </c>
      <c r="M197" t="s">
        <v>12891</v>
      </c>
      <c r="N197">
        <v>40921</v>
      </c>
    </row>
    <row r="198" spans="1:15" x14ac:dyDescent="0.15">
      <c r="A198">
        <v>15709166</v>
      </c>
      <c r="B198">
        <v>18089561</v>
      </c>
      <c r="F198">
        <v>35200555</v>
      </c>
      <c r="G198" t="s">
        <v>13135</v>
      </c>
      <c r="H198" t="s">
        <v>13136</v>
      </c>
      <c r="I198" t="s">
        <v>13141</v>
      </c>
      <c r="J198" t="s">
        <v>13137</v>
      </c>
      <c r="K198" t="s">
        <v>13138</v>
      </c>
      <c r="L198">
        <v>2022</v>
      </c>
      <c r="M198" t="s">
        <v>13139</v>
      </c>
      <c r="N198">
        <v>44616</v>
      </c>
      <c r="O198" t="s">
        <v>13140</v>
      </c>
    </row>
    <row r="199" spans="1:15" x14ac:dyDescent="0.15">
      <c r="A199">
        <v>25407601</v>
      </c>
      <c r="B199">
        <v>8282779</v>
      </c>
      <c r="F199">
        <v>9668172</v>
      </c>
      <c r="G199" t="s">
        <v>13142</v>
      </c>
      <c r="H199" t="s">
        <v>13143</v>
      </c>
      <c r="I199" t="s">
        <v>13147</v>
      </c>
      <c r="J199" t="s">
        <v>13144</v>
      </c>
      <c r="K199" t="s">
        <v>13145</v>
      </c>
      <c r="L199">
        <v>1998</v>
      </c>
      <c r="M199" t="s">
        <v>13146</v>
      </c>
      <c r="N199">
        <v>35997</v>
      </c>
    </row>
    <row r="200" spans="1:15" x14ac:dyDescent="0.15">
      <c r="A200">
        <v>24838567</v>
      </c>
      <c r="B200">
        <v>8660406</v>
      </c>
      <c r="F200">
        <v>28844893</v>
      </c>
      <c r="G200" t="s">
        <v>13151</v>
      </c>
      <c r="H200" t="s">
        <v>13152</v>
      </c>
      <c r="I200" t="s">
        <v>13156</v>
      </c>
      <c r="J200" t="s">
        <v>13153</v>
      </c>
      <c r="K200" t="s">
        <v>13154</v>
      </c>
      <c r="L200">
        <v>2017</v>
      </c>
      <c r="M200" t="s">
        <v>13155</v>
      </c>
      <c r="N200">
        <v>42976</v>
      </c>
    </row>
    <row r="201" spans="1:15" x14ac:dyDescent="0.15">
      <c r="A201">
        <v>33569297</v>
      </c>
      <c r="B201">
        <v>33548389</v>
      </c>
      <c r="F201">
        <v>26246178</v>
      </c>
      <c r="G201" t="s">
        <v>13166</v>
      </c>
      <c r="H201" t="s">
        <v>13167</v>
      </c>
      <c r="I201" t="s">
        <v>13170</v>
      </c>
      <c r="J201" t="s">
        <v>13168</v>
      </c>
      <c r="K201" t="s">
        <v>13169</v>
      </c>
      <c r="L201">
        <v>2015</v>
      </c>
      <c r="M201" t="s">
        <v>11814</v>
      </c>
      <c r="N201">
        <v>42223</v>
      </c>
    </row>
    <row r="202" spans="1:15" x14ac:dyDescent="0.15">
      <c r="A202" t="s">
        <v>74</v>
      </c>
      <c r="B202">
        <v>32457507</v>
      </c>
      <c r="F202">
        <v>16461938</v>
      </c>
      <c r="G202" t="s">
        <v>13171</v>
      </c>
      <c r="H202" t="s">
        <v>13172</v>
      </c>
      <c r="I202" t="s">
        <v>13176</v>
      </c>
      <c r="J202" t="s">
        <v>13173</v>
      </c>
      <c r="K202" t="s">
        <v>13174</v>
      </c>
      <c r="L202">
        <v>2006</v>
      </c>
      <c r="M202" t="s">
        <v>13175</v>
      </c>
      <c r="N202">
        <v>38756</v>
      </c>
    </row>
    <row r="203" spans="1:15" x14ac:dyDescent="0.15">
      <c r="A203">
        <v>30526536</v>
      </c>
      <c r="B203">
        <v>28875730</v>
      </c>
      <c r="F203">
        <v>35275615</v>
      </c>
      <c r="G203" t="s">
        <v>13177</v>
      </c>
      <c r="H203" t="s">
        <v>13178</v>
      </c>
      <c r="I203" t="s">
        <v>13181</v>
      </c>
      <c r="J203" t="s">
        <v>13179</v>
      </c>
      <c r="K203" t="s">
        <v>13180</v>
      </c>
      <c r="L203">
        <v>2022</v>
      </c>
      <c r="M203" t="s">
        <v>11453</v>
      </c>
      <c r="N203">
        <v>44631</v>
      </c>
    </row>
    <row r="204" spans="1:15" x14ac:dyDescent="0.15">
      <c r="A204">
        <v>32010582</v>
      </c>
      <c r="B204">
        <v>34331845</v>
      </c>
      <c r="F204">
        <v>11090220</v>
      </c>
      <c r="G204" t="s">
        <v>13191</v>
      </c>
      <c r="H204" t="s">
        <v>13192</v>
      </c>
      <c r="I204" t="s">
        <v>13197</v>
      </c>
      <c r="J204" t="s">
        <v>13193</v>
      </c>
      <c r="K204" t="s">
        <v>13194</v>
      </c>
      <c r="L204">
        <v>2000</v>
      </c>
      <c r="M204" t="s">
        <v>13195</v>
      </c>
      <c r="N204">
        <v>36853</v>
      </c>
      <c r="O204" t="s">
        <v>13196</v>
      </c>
    </row>
    <row r="205" spans="1:15" x14ac:dyDescent="0.15">
      <c r="A205">
        <v>29374476</v>
      </c>
      <c r="B205">
        <v>32685026</v>
      </c>
      <c r="F205">
        <v>10772249</v>
      </c>
      <c r="G205" t="s">
        <v>13198</v>
      </c>
      <c r="H205" t="s">
        <v>13199</v>
      </c>
      <c r="I205" t="s">
        <v>13203</v>
      </c>
      <c r="J205" t="s">
        <v>13200</v>
      </c>
      <c r="K205" t="s">
        <v>13201</v>
      </c>
      <c r="L205">
        <v>2000</v>
      </c>
      <c r="M205" t="s">
        <v>13202</v>
      </c>
      <c r="N205">
        <v>36636</v>
      </c>
    </row>
    <row r="206" spans="1:15" x14ac:dyDescent="0.15">
      <c r="A206">
        <v>27662833</v>
      </c>
      <c r="B206">
        <v>31666668</v>
      </c>
      <c r="F206">
        <v>10721728</v>
      </c>
      <c r="G206" t="s">
        <v>13204</v>
      </c>
      <c r="H206" t="s">
        <v>13205</v>
      </c>
      <c r="I206" t="s">
        <v>13209</v>
      </c>
      <c r="J206" t="s">
        <v>13206</v>
      </c>
      <c r="K206" t="s">
        <v>13207</v>
      </c>
      <c r="L206">
        <v>2000</v>
      </c>
      <c r="M206" t="s">
        <v>13208</v>
      </c>
      <c r="N206">
        <v>36603</v>
      </c>
    </row>
    <row r="207" spans="1:15" x14ac:dyDescent="0.15">
      <c r="A207">
        <v>28684288</v>
      </c>
      <c r="B207">
        <v>31152821</v>
      </c>
      <c r="F207">
        <v>1644924</v>
      </c>
      <c r="G207" t="s">
        <v>13210</v>
      </c>
      <c r="H207" t="s">
        <v>13211</v>
      </c>
      <c r="I207" t="s">
        <v>13214</v>
      </c>
      <c r="J207" t="s">
        <v>13212</v>
      </c>
      <c r="K207" t="s">
        <v>13055</v>
      </c>
      <c r="L207">
        <v>1992</v>
      </c>
      <c r="M207" t="s">
        <v>11289</v>
      </c>
      <c r="N207">
        <v>33817</v>
      </c>
      <c r="O207" t="s">
        <v>13213</v>
      </c>
    </row>
    <row r="208" spans="1:15" x14ac:dyDescent="0.15">
      <c r="A208">
        <v>30542983</v>
      </c>
      <c r="B208">
        <v>34672606</v>
      </c>
      <c r="F208">
        <v>17823924</v>
      </c>
      <c r="G208" t="s">
        <v>13215</v>
      </c>
      <c r="H208" t="s">
        <v>13216</v>
      </c>
      <c r="I208" t="s">
        <v>13219</v>
      </c>
      <c r="J208" t="s">
        <v>13217</v>
      </c>
      <c r="K208" t="s">
        <v>13218</v>
      </c>
      <c r="L208">
        <v>2007</v>
      </c>
      <c r="M208" t="s">
        <v>11419</v>
      </c>
      <c r="N208">
        <v>39333</v>
      </c>
    </row>
    <row r="209" spans="1:16" x14ac:dyDescent="0.15">
      <c r="A209">
        <v>31608233</v>
      </c>
      <c r="B209">
        <v>29795272</v>
      </c>
      <c r="F209">
        <v>9712834</v>
      </c>
      <c r="G209" t="s">
        <v>13220</v>
      </c>
      <c r="H209" t="s">
        <v>13221</v>
      </c>
      <c r="I209" t="s">
        <v>13224</v>
      </c>
      <c r="J209" t="s">
        <v>13222</v>
      </c>
      <c r="K209" t="s">
        <v>13223</v>
      </c>
      <c r="L209">
        <v>1998</v>
      </c>
      <c r="M209" t="s">
        <v>11800</v>
      </c>
      <c r="N209">
        <v>36033</v>
      </c>
    </row>
    <row r="210" spans="1:16" x14ac:dyDescent="0.15">
      <c r="A210">
        <v>33918465</v>
      </c>
      <c r="B210">
        <v>33783474</v>
      </c>
      <c r="F210">
        <v>17546597</v>
      </c>
      <c r="G210" t="s">
        <v>13229</v>
      </c>
      <c r="H210" t="s">
        <v>13230</v>
      </c>
      <c r="I210" t="s">
        <v>13233</v>
      </c>
      <c r="J210" t="s">
        <v>13231</v>
      </c>
      <c r="K210" t="s">
        <v>13232</v>
      </c>
      <c r="L210">
        <v>2007</v>
      </c>
      <c r="M210" t="s">
        <v>11856</v>
      </c>
      <c r="N210">
        <v>39238</v>
      </c>
    </row>
    <row r="211" spans="1:16" x14ac:dyDescent="0.15">
      <c r="A211">
        <v>34433181</v>
      </c>
      <c r="B211">
        <v>29513618</v>
      </c>
      <c r="F211">
        <v>22306653</v>
      </c>
      <c r="G211" t="s">
        <v>13234</v>
      </c>
      <c r="H211" t="s">
        <v>13235</v>
      </c>
      <c r="I211" t="s">
        <v>13239</v>
      </c>
      <c r="J211" t="s">
        <v>13236</v>
      </c>
      <c r="K211" t="s">
        <v>13237</v>
      </c>
      <c r="L211">
        <v>2012</v>
      </c>
      <c r="M211" t="s">
        <v>13238</v>
      </c>
      <c r="N211">
        <v>40946</v>
      </c>
    </row>
    <row r="212" spans="1:16" x14ac:dyDescent="0.15">
      <c r="A212">
        <v>30236130</v>
      </c>
      <c r="B212">
        <v>31228184</v>
      </c>
      <c r="F212">
        <v>2689174</v>
      </c>
      <c r="G212" t="s">
        <v>13240</v>
      </c>
      <c r="H212" t="s">
        <v>13241</v>
      </c>
      <c r="I212" t="s">
        <v>13245</v>
      </c>
      <c r="J212" t="s">
        <v>13242</v>
      </c>
      <c r="K212" t="s">
        <v>13243</v>
      </c>
      <c r="L212">
        <v>1989</v>
      </c>
      <c r="M212" t="s">
        <v>13244</v>
      </c>
      <c r="N212">
        <v>32850</v>
      </c>
    </row>
    <row r="213" spans="1:16" x14ac:dyDescent="0.15">
      <c r="A213">
        <v>30108686</v>
      </c>
      <c r="B213">
        <v>27882925</v>
      </c>
      <c r="F213">
        <v>9873029</v>
      </c>
      <c r="G213" t="s">
        <v>13246</v>
      </c>
      <c r="H213" t="s">
        <v>13247</v>
      </c>
      <c r="I213" t="s">
        <v>13250</v>
      </c>
      <c r="J213" t="s">
        <v>13248</v>
      </c>
      <c r="K213" t="s">
        <v>13249</v>
      </c>
      <c r="L213">
        <v>1999</v>
      </c>
      <c r="M213" t="s">
        <v>11800</v>
      </c>
      <c r="N213">
        <v>36165</v>
      </c>
    </row>
    <row r="214" spans="1:16" x14ac:dyDescent="0.15">
      <c r="A214">
        <v>25111183</v>
      </c>
      <c r="B214">
        <v>34388259</v>
      </c>
      <c r="F214">
        <v>12509439</v>
      </c>
      <c r="G214" t="s">
        <v>13251</v>
      </c>
      <c r="H214" t="s">
        <v>13252</v>
      </c>
      <c r="I214" t="s">
        <v>13255</v>
      </c>
      <c r="J214" t="s">
        <v>13253</v>
      </c>
      <c r="K214" t="s">
        <v>13254</v>
      </c>
      <c r="L214">
        <v>2003</v>
      </c>
      <c r="M214" t="s">
        <v>11800</v>
      </c>
      <c r="N214">
        <v>37623</v>
      </c>
    </row>
    <row r="215" spans="1:16" x14ac:dyDescent="0.15">
      <c r="A215">
        <v>27902458</v>
      </c>
      <c r="B215">
        <v>29556344</v>
      </c>
      <c r="F215">
        <v>23020974</v>
      </c>
      <c r="G215" t="s">
        <v>13256</v>
      </c>
      <c r="H215" t="s">
        <v>13257</v>
      </c>
      <c r="I215" t="s">
        <v>13261</v>
      </c>
      <c r="J215" t="s">
        <v>13258</v>
      </c>
      <c r="K215" t="s">
        <v>13259</v>
      </c>
      <c r="L215">
        <v>2012</v>
      </c>
      <c r="M215" t="s">
        <v>13260</v>
      </c>
      <c r="N215">
        <v>41184</v>
      </c>
    </row>
    <row r="216" spans="1:16" x14ac:dyDescent="0.15">
      <c r="A216">
        <v>34160815</v>
      </c>
      <c r="B216">
        <v>21430775</v>
      </c>
      <c r="F216">
        <v>7559527</v>
      </c>
      <c r="G216" t="s">
        <v>13262</v>
      </c>
      <c r="H216" t="s">
        <v>13263</v>
      </c>
      <c r="I216" t="s">
        <v>13266</v>
      </c>
      <c r="J216" t="s">
        <v>13264</v>
      </c>
      <c r="K216" t="s">
        <v>13265</v>
      </c>
      <c r="L216">
        <v>1995</v>
      </c>
      <c r="M216" t="s">
        <v>11800</v>
      </c>
      <c r="N216">
        <v>34978</v>
      </c>
    </row>
    <row r="217" spans="1:16" x14ac:dyDescent="0.15">
      <c r="A217">
        <v>25713383</v>
      </c>
      <c r="B217">
        <v>34773243</v>
      </c>
    </row>
    <row r="218" spans="1:16" x14ac:dyDescent="0.15">
      <c r="A218">
        <v>33668490</v>
      </c>
      <c r="B218">
        <v>29668342</v>
      </c>
      <c r="F218">
        <v>10782830</v>
      </c>
      <c r="G218" t="s">
        <v>13267</v>
      </c>
      <c r="H218" t="s">
        <v>13268</v>
      </c>
      <c r="J218" t="s">
        <v>13269</v>
      </c>
      <c r="K218" t="s">
        <v>13270</v>
      </c>
      <c r="L218">
        <v>2000</v>
      </c>
      <c r="M218" t="s">
        <v>13089</v>
      </c>
      <c r="N218">
        <v>36643</v>
      </c>
    </row>
    <row r="219" spans="1:16" x14ac:dyDescent="0.15">
      <c r="A219">
        <v>34454680</v>
      </c>
      <c r="B219">
        <v>33666501</v>
      </c>
      <c r="F219">
        <v>2154094</v>
      </c>
      <c r="G219" t="s">
        <v>13271</v>
      </c>
      <c r="H219" t="s">
        <v>13272</v>
      </c>
      <c r="I219" t="s">
        <v>13276</v>
      </c>
      <c r="J219" t="s">
        <v>13273</v>
      </c>
      <c r="K219" t="s">
        <v>13274</v>
      </c>
      <c r="L219">
        <v>1990</v>
      </c>
      <c r="M219" t="s">
        <v>13275</v>
      </c>
      <c r="N219">
        <v>32905</v>
      </c>
    </row>
    <row r="220" spans="1:16" x14ac:dyDescent="0.15">
      <c r="A220">
        <v>34595842</v>
      </c>
      <c r="B220">
        <v>33137926</v>
      </c>
      <c r="F220">
        <v>8034739</v>
      </c>
      <c r="G220" t="s">
        <v>13290</v>
      </c>
      <c r="H220" t="s">
        <v>13291</v>
      </c>
      <c r="I220" t="s">
        <v>13295</v>
      </c>
      <c r="J220" t="s">
        <v>13292</v>
      </c>
      <c r="K220" t="s">
        <v>13293</v>
      </c>
      <c r="L220">
        <v>1994</v>
      </c>
      <c r="M220" t="s">
        <v>13108</v>
      </c>
      <c r="N220">
        <v>34516</v>
      </c>
      <c r="O220" t="s">
        <v>13294</v>
      </c>
    </row>
    <row r="221" spans="1:16" x14ac:dyDescent="0.15">
      <c r="A221">
        <v>32341769</v>
      </c>
      <c r="B221">
        <v>32903777</v>
      </c>
      <c r="F221">
        <v>9530176</v>
      </c>
      <c r="G221" t="s">
        <v>13296</v>
      </c>
      <c r="H221" t="s">
        <v>13297</v>
      </c>
      <c r="I221" t="s">
        <v>13301</v>
      </c>
      <c r="J221" t="s">
        <v>13298</v>
      </c>
      <c r="K221" t="s">
        <v>13299</v>
      </c>
      <c r="L221">
        <v>1998</v>
      </c>
      <c r="M221" t="s">
        <v>13300</v>
      </c>
      <c r="N221">
        <v>35893</v>
      </c>
    </row>
    <row r="222" spans="1:16" x14ac:dyDescent="0.15">
      <c r="A222">
        <v>27753024</v>
      </c>
      <c r="B222">
        <v>32781015</v>
      </c>
      <c r="F222">
        <v>16553833</v>
      </c>
      <c r="G222" t="s">
        <v>13302</v>
      </c>
      <c r="H222" t="s">
        <v>13303</v>
      </c>
      <c r="I222" t="s">
        <v>13307</v>
      </c>
      <c r="J222" t="s">
        <v>13304</v>
      </c>
      <c r="K222" t="s">
        <v>13305</v>
      </c>
      <c r="L222">
        <v>2006</v>
      </c>
      <c r="M222" t="s">
        <v>13306</v>
      </c>
      <c r="N222">
        <v>38800</v>
      </c>
    </row>
    <row r="223" spans="1:16" x14ac:dyDescent="0.15">
      <c r="A223">
        <v>31475741</v>
      </c>
      <c r="B223">
        <v>31828924</v>
      </c>
      <c r="F223">
        <v>21677667</v>
      </c>
      <c r="G223" t="s">
        <v>13308</v>
      </c>
      <c r="H223" t="s">
        <v>13309</v>
      </c>
      <c r="I223" t="s">
        <v>13315</v>
      </c>
      <c r="J223" t="s">
        <v>13310</v>
      </c>
      <c r="K223" t="s">
        <v>13311</v>
      </c>
      <c r="L223">
        <v>2011</v>
      </c>
      <c r="M223" t="s">
        <v>13312</v>
      </c>
      <c r="N223">
        <v>40711</v>
      </c>
      <c r="O223" t="s">
        <v>13313</v>
      </c>
      <c r="P223" t="s">
        <v>13314</v>
      </c>
    </row>
    <row r="224" spans="1:16" x14ac:dyDescent="0.15">
      <c r="A224">
        <v>35453902</v>
      </c>
      <c r="B224">
        <v>32231660</v>
      </c>
      <c r="F224">
        <v>18725234</v>
      </c>
      <c r="G224" t="s">
        <v>13316</v>
      </c>
      <c r="H224" t="s">
        <v>13317</v>
      </c>
      <c r="I224" t="s">
        <v>13321</v>
      </c>
      <c r="J224" t="s">
        <v>13318</v>
      </c>
      <c r="K224" t="s">
        <v>13319</v>
      </c>
      <c r="L224">
        <v>2008</v>
      </c>
      <c r="M224" t="s">
        <v>13320</v>
      </c>
      <c r="N224">
        <v>39690</v>
      </c>
    </row>
    <row r="225" spans="1:16" x14ac:dyDescent="0.15">
      <c r="A225">
        <v>34626484</v>
      </c>
      <c r="B225">
        <v>26369507</v>
      </c>
      <c r="F225">
        <v>9165051</v>
      </c>
      <c r="G225" t="s">
        <v>13327</v>
      </c>
      <c r="H225" t="s">
        <v>13328</v>
      </c>
      <c r="I225" t="s">
        <v>13332</v>
      </c>
      <c r="J225" t="s">
        <v>13329</v>
      </c>
      <c r="K225" t="s">
        <v>13330</v>
      </c>
      <c r="L225">
        <v>1997</v>
      </c>
      <c r="M225" t="s">
        <v>13331</v>
      </c>
      <c r="N225">
        <v>35582</v>
      </c>
    </row>
    <row r="226" spans="1:16" x14ac:dyDescent="0.15">
      <c r="A226">
        <v>31395428</v>
      </c>
      <c r="B226">
        <v>29904278</v>
      </c>
      <c r="F226">
        <v>11207362</v>
      </c>
      <c r="G226" t="s">
        <v>13333</v>
      </c>
      <c r="H226" t="s">
        <v>13334</v>
      </c>
      <c r="I226" t="s">
        <v>13337</v>
      </c>
      <c r="J226" t="s">
        <v>13335</v>
      </c>
      <c r="K226" t="s">
        <v>13336</v>
      </c>
      <c r="L226">
        <v>2001</v>
      </c>
      <c r="M226" t="s">
        <v>11130</v>
      </c>
      <c r="N226">
        <v>36946</v>
      </c>
    </row>
    <row r="227" spans="1:16" x14ac:dyDescent="0.15">
      <c r="A227">
        <v>32289644</v>
      </c>
      <c r="B227">
        <v>32067543</v>
      </c>
      <c r="F227">
        <v>12814647</v>
      </c>
      <c r="G227" t="s">
        <v>13338</v>
      </c>
      <c r="H227" t="s">
        <v>13339</v>
      </c>
      <c r="I227" t="s">
        <v>13343</v>
      </c>
      <c r="J227" t="s">
        <v>13340</v>
      </c>
      <c r="K227" t="s">
        <v>13341</v>
      </c>
      <c r="L227">
        <v>2003</v>
      </c>
      <c r="M227" t="s">
        <v>13342</v>
      </c>
      <c r="N227">
        <v>37792</v>
      </c>
    </row>
    <row r="228" spans="1:16" x14ac:dyDescent="0.15">
      <c r="A228">
        <v>32856938</v>
      </c>
      <c r="B228">
        <v>33565967</v>
      </c>
      <c r="F228">
        <v>22438260</v>
      </c>
      <c r="G228" t="s">
        <v>13344</v>
      </c>
      <c r="H228" t="s">
        <v>13345</v>
      </c>
      <c r="I228" t="s">
        <v>13349</v>
      </c>
      <c r="J228" t="s">
        <v>13346</v>
      </c>
      <c r="K228" t="s">
        <v>13347</v>
      </c>
      <c r="L228">
        <v>2012</v>
      </c>
      <c r="M228" t="s">
        <v>13348</v>
      </c>
      <c r="N228">
        <v>40991</v>
      </c>
    </row>
    <row r="229" spans="1:16" x14ac:dyDescent="0.15">
      <c r="A229">
        <v>33260345</v>
      </c>
      <c r="B229">
        <v>31891869</v>
      </c>
      <c r="F229">
        <v>9446579</v>
      </c>
      <c r="G229" t="s">
        <v>13350</v>
      </c>
      <c r="H229" t="s">
        <v>13351</v>
      </c>
      <c r="I229" t="s">
        <v>13354</v>
      </c>
      <c r="J229" t="s">
        <v>13352</v>
      </c>
      <c r="K229" t="s">
        <v>13353</v>
      </c>
      <c r="L229">
        <v>1998</v>
      </c>
      <c r="M229" t="s">
        <v>11800</v>
      </c>
      <c r="N229">
        <v>35854</v>
      </c>
    </row>
    <row r="230" spans="1:16" x14ac:dyDescent="0.15">
      <c r="A230">
        <v>33263017</v>
      </c>
      <c r="B230">
        <v>28833502</v>
      </c>
      <c r="F230">
        <v>11988182</v>
      </c>
      <c r="G230" t="s">
        <v>13359</v>
      </c>
      <c r="H230" t="s">
        <v>13360</v>
      </c>
      <c r="I230" t="s">
        <v>13363</v>
      </c>
      <c r="J230" t="s">
        <v>13361</v>
      </c>
      <c r="K230" t="s">
        <v>13362</v>
      </c>
      <c r="L230">
        <v>2002</v>
      </c>
      <c r="M230" t="s">
        <v>12205</v>
      </c>
      <c r="N230">
        <v>37380</v>
      </c>
    </row>
    <row r="231" spans="1:16" x14ac:dyDescent="0.15">
      <c r="A231">
        <v>34298496</v>
      </c>
      <c r="B231">
        <v>32766689</v>
      </c>
      <c r="F231">
        <v>8849358</v>
      </c>
      <c r="G231" t="s">
        <v>13364</v>
      </c>
      <c r="H231" t="s">
        <v>13365</v>
      </c>
      <c r="I231" t="s">
        <v>13368</v>
      </c>
      <c r="J231" t="s">
        <v>13366</v>
      </c>
      <c r="K231" t="s">
        <v>13367</v>
      </c>
      <c r="L231">
        <v>1995</v>
      </c>
      <c r="M231" t="s">
        <v>12891</v>
      </c>
      <c r="N231">
        <v>35034</v>
      </c>
    </row>
    <row r="232" spans="1:16" x14ac:dyDescent="0.15">
      <c r="A232">
        <v>22506041</v>
      </c>
      <c r="B232">
        <v>31631581</v>
      </c>
      <c r="E232">
        <v>32457507</v>
      </c>
      <c r="F232">
        <v>30951670</v>
      </c>
      <c r="G232" t="s">
        <v>2864</v>
      </c>
      <c r="H232" t="s">
        <v>11127</v>
      </c>
      <c r="I232" t="s">
        <v>2876</v>
      </c>
      <c r="J232" t="s">
        <v>11128</v>
      </c>
      <c r="K232" t="s">
        <v>11129</v>
      </c>
      <c r="L232">
        <v>2019</v>
      </c>
      <c r="M232" t="s">
        <v>11130</v>
      </c>
      <c r="N232">
        <v>43561</v>
      </c>
      <c r="O232" t="s">
        <v>11131</v>
      </c>
      <c r="P232" t="s">
        <v>11132</v>
      </c>
    </row>
    <row r="233" spans="1:16" x14ac:dyDescent="0.15">
      <c r="A233" t="s">
        <v>74</v>
      </c>
      <c r="B233">
        <v>32442760</v>
      </c>
      <c r="E233">
        <v>31666668</v>
      </c>
      <c r="F233">
        <v>33355987</v>
      </c>
      <c r="G233" t="s">
        <v>276</v>
      </c>
      <c r="H233" t="s">
        <v>11156</v>
      </c>
      <c r="I233" t="s">
        <v>290</v>
      </c>
      <c r="J233" t="s">
        <v>11157</v>
      </c>
      <c r="K233" t="s">
        <v>11158</v>
      </c>
      <c r="L233">
        <v>2021</v>
      </c>
      <c r="M233" t="s">
        <v>11159</v>
      </c>
      <c r="N233">
        <v>44193</v>
      </c>
      <c r="O233" t="s">
        <v>11160</v>
      </c>
    </row>
    <row r="234" spans="1:16" x14ac:dyDescent="0.15">
      <c r="A234">
        <v>33922925</v>
      </c>
      <c r="B234">
        <v>31937439</v>
      </c>
      <c r="E234">
        <v>29513618</v>
      </c>
      <c r="F234">
        <v>32170015</v>
      </c>
      <c r="G234" t="s">
        <v>9125</v>
      </c>
      <c r="H234" t="s">
        <v>11190</v>
      </c>
      <c r="I234" t="s">
        <v>9135</v>
      </c>
      <c r="J234" t="s">
        <v>11191</v>
      </c>
      <c r="K234" t="s">
        <v>11192</v>
      </c>
      <c r="L234">
        <v>2020</v>
      </c>
      <c r="M234" t="s">
        <v>11193</v>
      </c>
      <c r="N234">
        <v>43905</v>
      </c>
      <c r="O234" t="s">
        <v>11194</v>
      </c>
    </row>
    <row r="235" spans="1:16" x14ac:dyDescent="0.15">
      <c r="A235">
        <v>30915846</v>
      </c>
      <c r="B235">
        <v>26133463</v>
      </c>
      <c r="E235">
        <v>34388259</v>
      </c>
      <c r="F235">
        <v>31799396</v>
      </c>
      <c r="G235" t="s">
        <v>4492</v>
      </c>
      <c r="H235" t="s">
        <v>11207</v>
      </c>
      <c r="I235" t="s">
        <v>4503</v>
      </c>
      <c r="J235" t="s">
        <v>11208</v>
      </c>
      <c r="K235" t="s">
        <v>11209</v>
      </c>
      <c r="L235">
        <v>2019</v>
      </c>
      <c r="M235" t="s">
        <v>11210</v>
      </c>
      <c r="N235">
        <v>43804</v>
      </c>
      <c r="O235" t="s">
        <v>11211</v>
      </c>
    </row>
    <row r="236" spans="1:16" x14ac:dyDescent="0.15">
      <c r="A236">
        <v>25819213</v>
      </c>
      <c r="B236">
        <v>32219336</v>
      </c>
      <c r="E236">
        <v>29556344</v>
      </c>
      <c r="F236">
        <v>29582582</v>
      </c>
      <c r="G236" t="s">
        <v>10331</v>
      </c>
      <c r="H236" t="s">
        <v>11212</v>
      </c>
      <c r="I236" t="s">
        <v>10341</v>
      </c>
      <c r="J236" t="s">
        <v>11213</v>
      </c>
      <c r="K236" t="s">
        <v>11214</v>
      </c>
      <c r="L236">
        <v>2018</v>
      </c>
      <c r="M236" t="s">
        <v>11215</v>
      </c>
      <c r="N236">
        <v>43187</v>
      </c>
      <c r="O236" t="s">
        <v>11216</v>
      </c>
    </row>
    <row r="237" spans="1:16" x14ac:dyDescent="0.15">
      <c r="A237">
        <v>35649328</v>
      </c>
      <c r="B237">
        <v>31263077</v>
      </c>
      <c r="E237">
        <v>21430775</v>
      </c>
      <c r="F237">
        <v>34453041</v>
      </c>
      <c r="G237" t="s">
        <v>5355</v>
      </c>
      <c r="H237" t="s">
        <v>11217</v>
      </c>
      <c r="I237" t="s">
        <v>5366</v>
      </c>
      <c r="J237" t="s">
        <v>11218</v>
      </c>
      <c r="K237" t="s">
        <v>11219</v>
      </c>
      <c r="L237">
        <v>2021</v>
      </c>
      <c r="M237" t="s">
        <v>11220</v>
      </c>
      <c r="N237">
        <v>44436</v>
      </c>
      <c r="O237" t="s">
        <v>11221</v>
      </c>
    </row>
    <row r="238" spans="1:16" x14ac:dyDescent="0.15">
      <c r="A238">
        <v>26412464</v>
      </c>
      <c r="B238">
        <v>26452221</v>
      </c>
      <c r="E238">
        <v>29668342</v>
      </c>
      <c r="F238">
        <v>30240661</v>
      </c>
      <c r="G238" t="s">
        <v>7782</v>
      </c>
      <c r="H238" t="s">
        <v>11229</v>
      </c>
      <c r="I238" t="s">
        <v>7791</v>
      </c>
      <c r="J238" t="s">
        <v>11230</v>
      </c>
      <c r="K238" t="s">
        <v>11231</v>
      </c>
      <c r="L238">
        <v>2019</v>
      </c>
      <c r="M238" t="s">
        <v>11232</v>
      </c>
      <c r="N238">
        <v>43365</v>
      </c>
      <c r="O238" t="s">
        <v>11233</v>
      </c>
      <c r="P238" t="s">
        <v>11234</v>
      </c>
    </row>
    <row r="239" spans="1:16" x14ac:dyDescent="0.15">
      <c r="A239">
        <v>31701453</v>
      </c>
      <c r="B239">
        <v>30835829</v>
      </c>
      <c r="E239">
        <v>31828924</v>
      </c>
      <c r="F239">
        <v>23663360</v>
      </c>
      <c r="G239" t="s">
        <v>5185</v>
      </c>
      <c r="H239" t="s">
        <v>11261</v>
      </c>
      <c r="I239" t="s">
        <v>5196</v>
      </c>
      <c r="J239" t="s">
        <v>11262</v>
      </c>
      <c r="K239" t="s">
        <v>11263</v>
      </c>
      <c r="L239">
        <v>2013</v>
      </c>
      <c r="M239" t="s">
        <v>11264</v>
      </c>
      <c r="N239">
        <v>41408</v>
      </c>
      <c r="O239" t="s">
        <v>11265</v>
      </c>
    </row>
    <row r="240" spans="1:16" x14ac:dyDescent="0.15">
      <c r="A240">
        <v>29109780</v>
      </c>
      <c r="B240">
        <v>30699987</v>
      </c>
      <c r="E240">
        <v>32231660</v>
      </c>
      <c r="F240">
        <v>23949796</v>
      </c>
      <c r="G240" t="s">
        <v>11266</v>
      </c>
      <c r="H240" t="s">
        <v>11267</v>
      </c>
      <c r="I240" t="s">
        <v>9222</v>
      </c>
      <c r="J240" t="s">
        <v>11268</v>
      </c>
      <c r="K240" t="s">
        <v>11269</v>
      </c>
      <c r="L240">
        <v>2013</v>
      </c>
      <c r="M240" t="s">
        <v>11270</v>
      </c>
      <c r="N240">
        <v>41503</v>
      </c>
      <c r="O240" t="s">
        <v>11271</v>
      </c>
    </row>
    <row r="241" spans="1:16" x14ac:dyDescent="0.15">
      <c r="A241">
        <v>35301052</v>
      </c>
      <c r="B241">
        <v>30538124</v>
      </c>
      <c r="E241">
        <v>29904278</v>
      </c>
      <c r="F241">
        <v>21098229</v>
      </c>
      <c r="G241" t="s">
        <v>11278</v>
      </c>
      <c r="H241" t="s">
        <v>11279</v>
      </c>
      <c r="I241" t="s">
        <v>6364</v>
      </c>
      <c r="J241" t="s">
        <v>11280</v>
      </c>
      <c r="K241" t="s">
        <v>11281</v>
      </c>
      <c r="L241">
        <v>2010</v>
      </c>
      <c r="M241" t="s">
        <v>11282</v>
      </c>
      <c r="N241">
        <v>40507</v>
      </c>
    </row>
    <row r="242" spans="1:16" x14ac:dyDescent="0.15">
      <c r="A242">
        <v>33519169</v>
      </c>
      <c r="B242">
        <v>29520561</v>
      </c>
      <c r="E242">
        <v>32067543</v>
      </c>
      <c r="F242">
        <v>32446697</v>
      </c>
      <c r="G242" t="s">
        <v>5461</v>
      </c>
      <c r="H242" t="s">
        <v>11283</v>
      </c>
      <c r="I242" t="s">
        <v>5474</v>
      </c>
      <c r="J242" t="s">
        <v>11284</v>
      </c>
      <c r="K242" t="s">
        <v>11285</v>
      </c>
      <c r="L242">
        <v>2020</v>
      </c>
      <c r="M242" t="s">
        <v>11232</v>
      </c>
      <c r="N242">
        <v>43976</v>
      </c>
    </row>
    <row r="243" spans="1:16" x14ac:dyDescent="0.15">
      <c r="A243">
        <v>30149804</v>
      </c>
      <c r="B243">
        <v>32593407</v>
      </c>
      <c r="E243">
        <v>33565967</v>
      </c>
      <c r="F243">
        <v>33945510</v>
      </c>
      <c r="G243" t="s">
        <v>7611</v>
      </c>
      <c r="H243" t="s">
        <v>11286</v>
      </c>
      <c r="I243" t="s">
        <v>7624</v>
      </c>
      <c r="J243" t="s">
        <v>11287</v>
      </c>
      <c r="K243" t="s">
        <v>11288</v>
      </c>
      <c r="L243">
        <v>2021</v>
      </c>
      <c r="M243" t="s">
        <v>11289</v>
      </c>
      <c r="N243">
        <v>44320</v>
      </c>
      <c r="O243" t="s">
        <v>11290</v>
      </c>
    </row>
    <row r="244" spans="1:16" x14ac:dyDescent="0.15">
      <c r="A244">
        <v>26317354</v>
      </c>
      <c r="B244">
        <v>30697216</v>
      </c>
      <c r="E244">
        <v>28833502</v>
      </c>
      <c r="F244">
        <v>32929219</v>
      </c>
      <c r="G244" t="s">
        <v>9757</v>
      </c>
      <c r="H244" t="s">
        <v>11299</v>
      </c>
      <c r="I244" t="s">
        <v>9767</v>
      </c>
      <c r="J244" t="s">
        <v>11300</v>
      </c>
      <c r="K244" t="s">
        <v>11301</v>
      </c>
      <c r="L244">
        <v>2021</v>
      </c>
      <c r="M244" t="s">
        <v>11302</v>
      </c>
      <c r="N244">
        <v>44089</v>
      </c>
      <c r="O244" t="s">
        <v>11303</v>
      </c>
    </row>
    <row r="245" spans="1:16" x14ac:dyDescent="0.15">
      <c r="A245">
        <v>28828643</v>
      </c>
      <c r="B245">
        <v>23505015</v>
      </c>
      <c r="E245">
        <v>32766689</v>
      </c>
      <c r="F245">
        <v>34158841</v>
      </c>
      <c r="G245" t="s">
        <v>1084</v>
      </c>
      <c r="H245" t="s">
        <v>11304</v>
      </c>
      <c r="I245" t="s">
        <v>1095</v>
      </c>
      <c r="J245" t="s">
        <v>11305</v>
      </c>
      <c r="K245" t="s">
        <v>11306</v>
      </c>
      <c r="L245">
        <v>2021</v>
      </c>
      <c r="M245" t="s">
        <v>11172</v>
      </c>
      <c r="N245">
        <v>44370</v>
      </c>
      <c r="O245" t="s">
        <v>11307</v>
      </c>
    </row>
    <row r="246" spans="1:16" x14ac:dyDescent="0.15">
      <c r="A246">
        <v>34638452</v>
      </c>
      <c r="B246">
        <v>32934287</v>
      </c>
      <c r="E246">
        <v>32442760</v>
      </c>
      <c r="F246">
        <v>34160815</v>
      </c>
      <c r="G246" t="s">
        <v>551</v>
      </c>
      <c r="H246" t="s">
        <v>11314</v>
      </c>
      <c r="I246" t="s">
        <v>562</v>
      </c>
      <c r="J246" t="s">
        <v>11315</v>
      </c>
      <c r="K246" t="s">
        <v>11316</v>
      </c>
      <c r="L246">
        <v>2021</v>
      </c>
      <c r="M246" t="s">
        <v>11317</v>
      </c>
      <c r="N246">
        <v>44370</v>
      </c>
    </row>
    <row r="247" spans="1:16" x14ac:dyDescent="0.15">
      <c r="A247">
        <v>32162067</v>
      </c>
      <c r="B247">
        <v>33270495</v>
      </c>
      <c r="E247">
        <v>32219336</v>
      </c>
      <c r="F247">
        <v>21049390</v>
      </c>
      <c r="G247" t="s">
        <v>11331</v>
      </c>
      <c r="H247" t="s">
        <v>11332</v>
      </c>
      <c r="I247" t="s">
        <v>5134</v>
      </c>
      <c r="J247" t="s">
        <v>11333</v>
      </c>
      <c r="K247" t="s">
        <v>11334</v>
      </c>
      <c r="L247">
        <v>2010</v>
      </c>
      <c r="M247" t="s">
        <v>11335</v>
      </c>
      <c r="N247">
        <v>40487</v>
      </c>
    </row>
    <row r="248" spans="1:16" x14ac:dyDescent="0.15">
      <c r="A248">
        <v>34440345</v>
      </c>
      <c r="B248">
        <v>31740445</v>
      </c>
      <c r="E248">
        <v>31263077</v>
      </c>
      <c r="F248">
        <v>33420990</v>
      </c>
      <c r="G248" t="s">
        <v>457</v>
      </c>
      <c r="H248" t="s">
        <v>11336</v>
      </c>
      <c r="I248" t="s">
        <v>467</v>
      </c>
      <c r="J248" t="s">
        <v>11337</v>
      </c>
      <c r="K248" t="s">
        <v>11338</v>
      </c>
      <c r="L248">
        <v>2021</v>
      </c>
      <c r="M248" t="s">
        <v>11317</v>
      </c>
      <c r="N248">
        <v>44205</v>
      </c>
    </row>
    <row r="249" spans="1:16" x14ac:dyDescent="0.15">
      <c r="A249">
        <v>33375577</v>
      </c>
      <c r="B249">
        <v>32134270</v>
      </c>
      <c r="E249">
        <v>30699987</v>
      </c>
      <c r="F249">
        <v>33918465</v>
      </c>
      <c r="G249" t="s">
        <v>338</v>
      </c>
      <c r="H249" t="s">
        <v>11353</v>
      </c>
      <c r="I249" t="s">
        <v>348</v>
      </c>
      <c r="J249" t="s">
        <v>11354</v>
      </c>
      <c r="K249" t="s">
        <v>11355</v>
      </c>
      <c r="L249">
        <v>2021</v>
      </c>
      <c r="M249" t="s">
        <v>11343</v>
      </c>
      <c r="N249">
        <v>44316</v>
      </c>
      <c r="O249" t="s">
        <v>11356</v>
      </c>
    </row>
    <row r="250" spans="1:16" x14ac:dyDescent="0.15">
      <c r="A250">
        <v>34295456</v>
      </c>
      <c r="B250">
        <v>27206554</v>
      </c>
      <c r="E250">
        <v>32934287</v>
      </c>
      <c r="F250">
        <v>32980480</v>
      </c>
      <c r="G250" t="s">
        <v>3081</v>
      </c>
      <c r="H250" t="s">
        <v>11390</v>
      </c>
      <c r="I250" t="s">
        <v>3093</v>
      </c>
      <c r="J250" t="s">
        <v>11391</v>
      </c>
      <c r="K250" t="s">
        <v>11392</v>
      </c>
      <c r="L250">
        <v>2020</v>
      </c>
      <c r="M250" t="s">
        <v>11393</v>
      </c>
      <c r="N250">
        <v>44101</v>
      </c>
      <c r="O250" t="s">
        <v>11394</v>
      </c>
      <c r="P250" t="s">
        <v>11395</v>
      </c>
    </row>
    <row r="251" spans="1:16" x14ac:dyDescent="0.15">
      <c r="A251">
        <v>32158519</v>
      </c>
      <c r="B251">
        <v>24580550</v>
      </c>
      <c r="E251">
        <v>33270495</v>
      </c>
      <c r="F251">
        <v>34454680</v>
      </c>
      <c r="G251" t="s">
        <v>646</v>
      </c>
      <c r="H251" t="s">
        <v>11396</v>
      </c>
      <c r="I251" t="s">
        <v>660</v>
      </c>
      <c r="J251" t="s">
        <v>11397</v>
      </c>
      <c r="K251" t="s">
        <v>11398</v>
      </c>
      <c r="L251">
        <v>2021</v>
      </c>
      <c r="M251" t="s">
        <v>11399</v>
      </c>
      <c r="N251">
        <v>44437</v>
      </c>
    </row>
    <row r="252" spans="1:16" x14ac:dyDescent="0.15">
      <c r="A252">
        <v>28850588</v>
      </c>
      <c r="B252">
        <v>34288927</v>
      </c>
      <c r="E252">
        <v>32134270</v>
      </c>
      <c r="F252">
        <v>34080172</v>
      </c>
      <c r="G252" t="s">
        <v>6022</v>
      </c>
      <c r="H252" t="s">
        <v>11407</v>
      </c>
      <c r="I252" t="s">
        <v>6033</v>
      </c>
      <c r="J252" t="s">
        <v>11408</v>
      </c>
      <c r="K252" t="s">
        <v>11409</v>
      </c>
      <c r="L252">
        <v>2021</v>
      </c>
      <c r="M252" t="s">
        <v>11312</v>
      </c>
      <c r="N252">
        <v>44350</v>
      </c>
    </row>
    <row r="253" spans="1:16" x14ac:dyDescent="0.15">
      <c r="A253">
        <v>33925397</v>
      </c>
      <c r="B253">
        <v>28676332</v>
      </c>
      <c r="E253">
        <v>24580550</v>
      </c>
      <c r="F253">
        <v>31475741</v>
      </c>
      <c r="G253" t="s">
        <v>775</v>
      </c>
      <c r="H253" t="s">
        <v>11416</v>
      </c>
      <c r="I253" t="s">
        <v>784</v>
      </c>
      <c r="J253" t="s">
        <v>11417</v>
      </c>
      <c r="K253" t="s">
        <v>11418</v>
      </c>
      <c r="L253">
        <v>2019</v>
      </c>
      <c r="M253" t="s">
        <v>11419</v>
      </c>
      <c r="N253">
        <v>43711</v>
      </c>
    </row>
    <row r="254" spans="1:16" x14ac:dyDescent="0.15">
      <c r="A254">
        <v>34681030</v>
      </c>
      <c r="B254">
        <v>24909737</v>
      </c>
      <c r="E254">
        <v>34288927</v>
      </c>
      <c r="F254">
        <v>29374476</v>
      </c>
      <c r="G254" t="s">
        <v>176</v>
      </c>
      <c r="H254" t="s">
        <v>11420</v>
      </c>
      <c r="I254" t="s">
        <v>187</v>
      </c>
      <c r="J254" t="s">
        <v>11421</v>
      </c>
      <c r="K254" t="s">
        <v>11422</v>
      </c>
      <c r="L254">
        <v>2018</v>
      </c>
      <c r="M254" t="s">
        <v>11423</v>
      </c>
      <c r="N254">
        <v>43129</v>
      </c>
      <c r="O254" t="s">
        <v>11424</v>
      </c>
    </row>
    <row r="255" spans="1:16" x14ac:dyDescent="0.15">
      <c r="A255">
        <v>34820420</v>
      </c>
      <c r="B255">
        <v>30451032</v>
      </c>
      <c r="E255">
        <v>31784837</v>
      </c>
      <c r="F255">
        <v>33769802</v>
      </c>
      <c r="G255" t="s">
        <v>2563</v>
      </c>
      <c r="H255" t="s">
        <v>11450</v>
      </c>
      <c r="I255" t="s">
        <v>2572</v>
      </c>
      <c r="J255" t="s">
        <v>11451</v>
      </c>
      <c r="K255" t="s">
        <v>11452</v>
      </c>
      <c r="L255">
        <v>2021</v>
      </c>
      <c r="M255" t="s">
        <v>11453</v>
      </c>
      <c r="N255">
        <v>44281</v>
      </c>
    </row>
    <row r="256" spans="1:16" x14ac:dyDescent="0.15">
      <c r="A256">
        <v>29491222</v>
      </c>
      <c r="B256">
        <v>30242641</v>
      </c>
      <c r="E256">
        <v>28410618</v>
      </c>
      <c r="F256">
        <v>34528938</v>
      </c>
      <c r="G256" t="s">
        <v>8917</v>
      </c>
      <c r="H256" t="s">
        <v>11459</v>
      </c>
      <c r="I256" t="s">
        <v>8929</v>
      </c>
      <c r="J256" t="s">
        <v>11460</v>
      </c>
      <c r="K256" t="s">
        <v>11461</v>
      </c>
      <c r="L256">
        <v>2021</v>
      </c>
      <c r="M256" t="s">
        <v>11462</v>
      </c>
      <c r="N256">
        <v>44455</v>
      </c>
    </row>
    <row r="257" spans="1:15" x14ac:dyDescent="0.15">
      <c r="A257">
        <v>30339193</v>
      </c>
      <c r="B257">
        <v>31784837</v>
      </c>
      <c r="E257">
        <v>33666247</v>
      </c>
      <c r="F257">
        <v>34234173</v>
      </c>
      <c r="G257" t="s">
        <v>6216</v>
      </c>
      <c r="H257" t="s">
        <v>11463</v>
      </c>
      <c r="I257" t="s">
        <v>6226</v>
      </c>
      <c r="J257" t="s">
        <v>11464</v>
      </c>
      <c r="K257" t="s">
        <v>11465</v>
      </c>
      <c r="L257">
        <v>2021</v>
      </c>
      <c r="M257" t="s">
        <v>11466</v>
      </c>
      <c r="N257">
        <v>44385</v>
      </c>
      <c r="O257" t="s">
        <v>11467</v>
      </c>
    </row>
    <row r="258" spans="1:15" x14ac:dyDescent="0.15">
      <c r="A258">
        <v>31547130</v>
      </c>
      <c r="B258">
        <v>31646316</v>
      </c>
      <c r="E258">
        <v>29251021</v>
      </c>
      <c r="F258">
        <v>32968935</v>
      </c>
      <c r="G258" t="s">
        <v>3048</v>
      </c>
      <c r="H258" t="s">
        <v>11474</v>
      </c>
      <c r="I258" t="s">
        <v>3061</v>
      </c>
      <c r="J258" t="s">
        <v>11475</v>
      </c>
      <c r="K258" t="s">
        <v>11476</v>
      </c>
      <c r="L258">
        <v>2021</v>
      </c>
      <c r="M258" t="s">
        <v>11477</v>
      </c>
      <c r="N258">
        <v>44098</v>
      </c>
    </row>
    <row r="259" spans="1:15" x14ac:dyDescent="0.15">
      <c r="A259">
        <v>27753025</v>
      </c>
      <c r="B259">
        <v>28410618</v>
      </c>
      <c r="E259">
        <v>25837312</v>
      </c>
      <c r="F259">
        <v>31017799</v>
      </c>
      <c r="G259" t="s">
        <v>4675</v>
      </c>
      <c r="H259" t="s">
        <v>11490</v>
      </c>
      <c r="I259" t="s">
        <v>4690</v>
      </c>
      <c r="J259" t="s">
        <v>11491</v>
      </c>
      <c r="K259" t="s">
        <v>11492</v>
      </c>
      <c r="L259">
        <v>2019</v>
      </c>
      <c r="M259" t="s">
        <v>11493</v>
      </c>
      <c r="N259">
        <v>43580</v>
      </c>
      <c r="O259" t="s">
        <v>11494</v>
      </c>
    </row>
    <row r="260" spans="1:15" x14ac:dyDescent="0.15">
      <c r="A260">
        <v>29093639</v>
      </c>
      <c r="B260">
        <v>33666247</v>
      </c>
      <c r="E260">
        <v>35892331</v>
      </c>
      <c r="F260">
        <v>33580122</v>
      </c>
      <c r="G260" t="s">
        <v>3115</v>
      </c>
      <c r="H260" t="s">
        <v>11502</v>
      </c>
      <c r="I260" t="s">
        <v>3124</v>
      </c>
      <c r="J260" t="s">
        <v>11503</v>
      </c>
      <c r="K260" t="s">
        <v>11504</v>
      </c>
      <c r="L260">
        <v>2021</v>
      </c>
      <c r="M260" t="s">
        <v>11466</v>
      </c>
      <c r="N260">
        <v>44240</v>
      </c>
      <c r="O260" t="s">
        <v>11505</v>
      </c>
    </row>
    <row r="261" spans="1:15" x14ac:dyDescent="0.15">
      <c r="A261">
        <v>28854931</v>
      </c>
      <c r="B261">
        <v>31882820</v>
      </c>
      <c r="E261">
        <v>20235276</v>
      </c>
      <c r="F261">
        <v>34127763</v>
      </c>
      <c r="G261" t="s">
        <v>3995</v>
      </c>
      <c r="H261" t="s">
        <v>11506</v>
      </c>
      <c r="I261" t="s">
        <v>4002</v>
      </c>
      <c r="J261" t="s">
        <v>11507</v>
      </c>
      <c r="K261" t="s">
        <v>11508</v>
      </c>
      <c r="L261">
        <v>2021</v>
      </c>
      <c r="M261" t="s">
        <v>11466</v>
      </c>
      <c r="N261">
        <v>44362</v>
      </c>
      <c r="O261" t="s">
        <v>11509</v>
      </c>
    </row>
    <row r="262" spans="1:15" x14ac:dyDescent="0.15">
      <c r="A262">
        <v>28453784</v>
      </c>
      <c r="B262">
        <v>29251021</v>
      </c>
      <c r="E262">
        <v>28167212</v>
      </c>
      <c r="F262">
        <v>33420117</v>
      </c>
      <c r="G262" t="s">
        <v>11510</v>
      </c>
      <c r="H262" t="s">
        <v>11511</v>
      </c>
      <c r="I262" t="s">
        <v>3626</v>
      </c>
      <c r="J262" t="s">
        <v>11512</v>
      </c>
      <c r="K262" t="s">
        <v>11513</v>
      </c>
      <c r="L262">
        <v>2021</v>
      </c>
      <c r="M262" t="s">
        <v>11466</v>
      </c>
      <c r="N262">
        <v>44205</v>
      </c>
      <c r="O262" t="s">
        <v>11514</v>
      </c>
    </row>
    <row r="263" spans="1:15" x14ac:dyDescent="0.15">
      <c r="A263">
        <v>32455948</v>
      </c>
      <c r="B263">
        <v>27191915</v>
      </c>
      <c r="E263">
        <v>24250247</v>
      </c>
      <c r="F263">
        <v>34595842</v>
      </c>
      <c r="G263" t="s">
        <v>704</v>
      </c>
      <c r="H263" t="s">
        <v>11522</v>
      </c>
      <c r="I263" t="s">
        <v>714</v>
      </c>
      <c r="J263" t="s">
        <v>11523</v>
      </c>
      <c r="K263" t="s">
        <v>11524</v>
      </c>
      <c r="L263">
        <v>2021</v>
      </c>
      <c r="M263" t="s">
        <v>11525</v>
      </c>
      <c r="N263">
        <v>44470</v>
      </c>
      <c r="O263" t="s">
        <v>11526</v>
      </c>
    </row>
    <row r="264" spans="1:15" x14ac:dyDescent="0.15">
      <c r="A264">
        <v>26305810</v>
      </c>
      <c r="B264">
        <v>34060032</v>
      </c>
      <c r="E264">
        <v>27075363</v>
      </c>
      <c r="F264">
        <v>30236130</v>
      </c>
      <c r="G264" t="s">
        <v>387</v>
      </c>
      <c r="H264" t="s">
        <v>11527</v>
      </c>
      <c r="I264" t="s">
        <v>400</v>
      </c>
      <c r="J264" t="s">
        <v>11528</v>
      </c>
      <c r="K264" t="s">
        <v>11529</v>
      </c>
      <c r="L264">
        <v>2018</v>
      </c>
      <c r="M264" t="s">
        <v>11530</v>
      </c>
      <c r="N264">
        <v>43365</v>
      </c>
      <c r="O264" t="s">
        <v>11531</v>
      </c>
    </row>
    <row r="265" spans="1:15" x14ac:dyDescent="0.15">
      <c r="A265">
        <v>30519544</v>
      </c>
      <c r="B265">
        <v>25837312</v>
      </c>
      <c r="E265">
        <v>34198263</v>
      </c>
      <c r="F265">
        <v>33643547</v>
      </c>
      <c r="G265" t="s">
        <v>1168</v>
      </c>
      <c r="H265" t="s">
        <v>11532</v>
      </c>
      <c r="I265" t="s">
        <v>1179</v>
      </c>
      <c r="J265" t="s">
        <v>11533</v>
      </c>
      <c r="K265" t="s">
        <v>11534</v>
      </c>
      <c r="L265">
        <v>2021</v>
      </c>
      <c r="M265" t="s">
        <v>11525</v>
      </c>
      <c r="N265">
        <v>44256</v>
      </c>
      <c r="O265" t="s">
        <v>11535</v>
      </c>
    </row>
    <row r="266" spans="1:15" x14ac:dyDescent="0.15">
      <c r="A266">
        <v>35159179</v>
      </c>
      <c r="B266">
        <v>26238497</v>
      </c>
      <c r="E266">
        <v>30257227</v>
      </c>
      <c r="F266">
        <v>33850235</v>
      </c>
      <c r="G266" t="s">
        <v>3067</v>
      </c>
      <c r="H266" t="s">
        <v>11536</v>
      </c>
      <c r="I266" t="s">
        <v>3077</v>
      </c>
      <c r="J266" t="s">
        <v>11537</v>
      </c>
      <c r="K266" t="s">
        <v>11538</v>
      </c>
      <c r="L266">
        <v>2021</v>
      </c>
      <c r="M266" t="s">
        <v>11466</v>
      </c>
      <c r="N266">
        <v>44300</v>
      </c>
      <c r="O266" t="s">
        <v>11539</v>
      </c>
    </row>
    <row r="267" spans="1:15" x14ac:dyDescent="0.15">
      <c r="A267">
        <v>32056180</v>
      </c>
      <c r="B267">
        <v>35892331</v>
      </c>
      <c r="E267">
        <v>33454965</v>
      </c>
      <c r="F267">
        <v>32162067</v>
      </c>
      <c r="G267" t="s">
        <v>1526</v>
      </c>
      <c r="H267" t="s">
        <v>11545</v>
      </c>
      <c r="I267" t="s">
        <v>1540</v>
      </c>
      <c r="J267" t="s">
        <v>11546</v>
      </c>
      <c r="K267" t="s">
        <v>11547</v>
      </c>
      <c r="L267">
        <v>2020</v>
      </c>
      <c r="M267" t="s">
        <v>11548</v>
      </c>
      <c r="N267">
        <v>43903</v>
      </c>
    </row>
    <row r="268" spans="1:15" x14ac:dyDescent="0.15">
      <c r="A268" t="s">
        <v>74</v>
      </c>
      <c r="B268">
        <v>20235276</v>
      </c>
      <c r="E268">
        <v>31123713</v>
      </c>
      <c r="F268">
        <v>34681030</v>
      </c>
      <c r="G268" t="s">
        <v>1735</v>
      </c>
      <c r="H268" t="s">
        <v>11556</v>
      </c>
      <c r="I268" t="s">
        <v>1745</v>
      </c>
      <c r="J268" t="s">
        <v>11557</v>
      </c>
      <c r="K268" t="s">
        <v>11558</v>
      </c>
      <c r="L268">
        <v>2021</v>
      </c>
      <c r="M268" t="s">
        <v>11343</v>
      </c>
      <c r="N268">
        <v>44492</v>
      </c>
      <c r="O268" t="s">
        <v>11559</v>
      </c>
    </row>
    <row r="269" spans="1:15" x14ac:dyDescent="0.15">
      <c r="A269">
        <v>32744099</v>
      </c>
      <c r="B269">
        <v>28167212</v>
      </c>
      <c r="E269">
        <v>32447063</v>
      </c>
      <c r="F269">
        <v>25472905</v>
      </c>
      <c r="G269" t="s">
        <v>5386</v>
      </c>
      <c r="H269" t="s">
        <v>11560</v>
      </c>
      <c r="I269" t="s">
        <v>5397</v>
      </c>
      <c r="J269" t="s">
        <v>11561</v>
      </c>
      <c r="K269" t="s">
        <v>11562</v>
      </c>
      <c r="L269">
        <v>2014</v>
      </c>
      <c r="M269" t="s">
        <v>11563</v>
      </c>
      <c r="N269">
        <v>41978</v>
      </c>
      <c r="O269" t="s">
        <v>11564</v>
      </c>
    </row>
    <row r="270" spans="1:15" x14ac:dyDescent="0.15">
      <c r="A270">
        <v>33498689</v>
      </c>
      <c r="B270">
        <v>21318413</v>
      </c>
      <c r="E270">
        <v>33819778</v>
      </c>
      <c r="F270">
        <v>31547130</v>
      </c>
      <c r="G270" t="s">
        <v>1870</v>
      </c>
      <c r="H270" t="s">
        <v>11595</v>
      </c>
      <c r="I270" t="s">
        <v>1882</v>
      </c>
      <c r="J270" t="s">
        <v>11596</v>
      </c>
      <c r="K270" t="s">
        <v>11597</v>
      </c>
      <c r="L270">
        <v>2019</v>
      </c>
      <c r="M270" t="s">
        <v>11598</v>
      </c>
      <c r="N270">
        <v>43733</v>
      </c>
      <c r="O270" t="s">
        <v>11599</v>
      </c>
    </row>
    <row r="271" spans="1:15" x14ac:dyDescent="0.15">
      <c r="A271">
        <v>34309083</v>
      </c>
      <c r="B271">
        <v>24250247</v>
      </c>
      <c r="E271">
        <v>27351774</v>
      </c>
      <c r="F271">
        <v>31198995</v>
      </c>
      <c r="G271" t="s">
        <v>1391</v>
      </c>
      <c r="H271" t="s">
        <v>11617</v>
      </c>
      <c r="I271" t="s">
        <v>1406</v>
      </c>
      <c r="J271" t="s">
        <v>11618</v>
      </c>
      <c r="K271" t="s">
        <v>11619</v>
      </c>
      <c r="L271">
        <v>2019</v>
      </c>
      <c r="M271" t="s">
        <v>11620</v>
      </c>
      <c r="N271">
        <v>43631</v>
      </c>
    </row>
    <row r="272" spans="1:15" x14ac:dyDescent="0.15">
      <c r="A272">
        <v>33769802</v>
      </c>
      <c r="B272">
        <v>27075363</v>
      </c>
      <c r="E272">
        <v>33403678</v>
      </c>
      <c r="F272">
        <v>33597619</v>
      </c>
      <c r="G272" t="s">
        <v>3955</v>
      </c>
      <c r="H272" t="s">
        <v>11632</v>
      </c>
      <c r="I272" t="s">
        <v>3963</v>
      </c>
      <c r="J272" t="s">
        <v>11633</v>
      </c>
      <c r="K272" t="s">
        <v>11634</v>
      </c>
      <c r="L272">
        <v>2021</v>
      </c>
      <c r="M272" t="s">
        <v>11466</v>
      </c>
      <c r="N272">
        <v>44245</v>
      </c>
      <c r="O272" t="s">
        <v>11635</v>
      </c>
    </row>
    <row r="273" spans="1:16" x14ac:dyDescent="0.15">
      <c r="A273">
        <v>33298282</v>
      </c>
      <c r="B273">
        <v>34198263</v>
      </c>
      <c r="E273">
        <v>32574550</v>
      </c>
      <c r="F273">
        <v>34454177</v>
      </c>
      <c r="G273" t="s">
        <v>2687</v>
      </c>
      <c r="H273" t="s">
        <v>11636</v>
      </c>
      <c r="I273" t="s">
        <v>2700</v>
      </c>
      <c r="J273" t="s">
        <v>11637</v>
      </c>
      <c r="K273" t="s">
        <v>11638</v>
      </c>
      <c r="L273">
        <v>2021</v>
      </c>
      <c r="M273" t="s">
        <v>11639</v>
      </c>
      <c r="N273">
        <v>44436</v>
      </c>
    </row>
    <row r="274" spans="1:16" x14ac:dyDescent="0.15">
      <c r="A274">
        <v>30871557</v>
      </c>
      <c r="B274">
        <v>30257227</v>
      </c>
      <c r="E274">
        <v>30499000</v>
      </c>
      <c r="F274">
        <v>31596073</v>
      </c>
      <c r="G274" t="s">
        <v>4564</v>
      </c>
      <c r="H274" t="s">
        <v>11653</v>
      </c>
      <c r="I274" t="s">
        <v>4572</v>
      </c>
      <c r="J274" t="s">
        <v>11654</v>
      </c>
      <c r="K274" t="s">
        <v>11655</v>
      </c>
      <c r="L274">
        <v>2019</v>
      </c>
      <c r="M274" t="s">
        <v>11453</v>
      </c>
      <c r="N274">
        <v>43748</v>
      </c>
    </row>
    <row r="275" spans="1:16" x14ac:dyDescent="0.15">
      <c r="A275">
        <v>32794300</v>
      </c>
      <c r="B275">
        <v>33798333</v>
      </c>
      <c r="E275">
        <v>30234974</v>
      </c>
      <c r="F275">
        <v>33160816</v>
      </c>
      <c r="G275" t="s">
        <v>2623</v>
      </c>
      <c r="H275" t="s">
        <v>11664</v>
      </c>
      <c r="I275" t="s">
        <v>2635</v>
      </c>
      <c r="J275" t="s">
        <v>11665</v>
      </c>
      <c r="K275" t="s">
        <v>11666</v>
      </c>
      <c r="L275">
        <v>2021</v>
      </c>
      <c r="M275" t="s">
        <v>11667</v>
      </c>
      <c r="N275">
        <v>44143</v>
      </c>
    </row>
    <row r="276" spans="1:16" x14ac:dyDescent="0.15">
      <c r="A276">
        <v>33160816</v>
      </c>
      <c r="B276">
        <v>33454965</v>
      </c>
      <c r="E276">
        <v>27179617</v>
      </c>
      <c r="F276">
        <v>30703330</v>
      </c>
      <c r="G276" t="s">
        <v>4916</v>
      </c>
      <c r="H276" t="s">
        <v>11668</v>
      </c>
      <c r="I276" t="s">
        <v>4929</v>
      </c>
      <c r="J276" t="s">
        <v>11669</v>
      </c>
      <c r="K276" t="s">
        <v>11670</v>
      </c>
      <c r="L276">
        <v>2019</v>
      </c>
      <c r="M276" t="s">
        <v>11671</v>
      </c>
      <c r="N276">
        <v>43497</v>
      </c>
    </row>
    <row r="277" spans="1:16" x14ac:dyDescent="0.15">
      <c r="A277">
        <v>18456845</v>
      </c>
      <c r="B277">
        <v>30467990</v>
      </c>
      <c r="E277">
        <v>28774835</v>
      </c>
      <c r="F277">
        <v>30604797</v>
      </c>
      <c r="G277" t="s">
        <v>3361</v>
      </c>
      <c r="H277" t="s">
        <v>11699</v>
      </c>
      <c r="I277" t="s">
        <v>3369</v>
      </c>
      <c r="J277" t="s">
        <v>11700</v>
      </c>
      <c r="K277" t="s">
        <v>11701</v>
      </c>
      <c r="L277">
        <v>2019</v>
      </c>
      <c r="M277" t="s">
        <v>11702</v>
      </c>
      <c r="N277">
        <v>43469</v>
      </c>
    </row>
    <row r="278" spans="1:16" x14ac:dyDescent="0.15">
      <c r="A278">
        <v>34454177</v>
      </c>
      <c r="B278">
        <v>31123713</v>
      </c>
      <c r="E278">
        <v>34747596</v>
      </c>
      <c r="F278">
        <v>33756122</v>
      </c>
      <c r="G278" t="s">
        <v>3267</v>
      </c>
      <c r="H278" t="s">
        <v>11703</v>
      </c>
      <c r="I278" t="s">
        <v>3280</v>
      </c>
      <c r="J278" t="s">
        <v>11704</v>
      </c>
      <c r="K278" t="s">
        <v>11705</v>
      </c>
      <c r="L278">
        <v>2021</v>
      </c>
      <c r="M278" t="s">
        <v>11706</v>
      </c>
      <c r="N278">
        <v>44278</v>
      </c>
    </row>
    <row r="279" spans="1:16" x14ac:dyDescent="0.15">
      <c r="A279">
        <v>33508126</v>
      </c>
      <c r="B279">
        <v>32447063</v>
      </c>
      <c r="E279">
        <v>32867502</v>
      </c>
      <c r="F279">
        <v>34811396</v>
      </c>
      <c r="G279" t="s">
        <v>8201</v>
      </c>
      <c r="H279" t="s">
        <v>11707</v>
      </c>
      <c r="I279" t="s">
        <v>8210</v>
      </c>
      <c r="J279" t="s">
        <v>11708</v>
      </c>
      <c r="K279" t="s">
        <v>11709</v>
      </c>
      <c r="L279">
        <v>2021</v>
      </c>
      <c r="M279" t="s">
        <v>11466</v>
      </c>
      <c r="N279">
        <v>44523</v>
      </c>
      <c r="O279" t="s">
        <v>11710</v>
      </c>
    </row>
    <row r="280" spans="1:16" x14ac:dyDescent="0.15">
      <c r="A280">
        <v>31921310</v>
      </c>
      <c r="B280">
        <v>29701682</v>
      </c>
      <c r="E280">
        <v>30760538</v>
      </c>
      <c r="F280">
        <v>30915846</v>
      </c>
      <c r="G280" t="s">
        <v>1136</v>
      </c>
      <c r="H280" t="s">
        <v>11711</v>
      </c>
      <c r="I280" t="s">
        <v>1148</v>
      </c>
      <c r="J280" t="s">
        <v>11712</v>
      </c>
      <c r="K280" t="s">
        <v>11713</v>
      </c>
      <c r="L280">
        <v>2019</v>
      </c>
      <c r="M280" t="s">
        <v>11714</v>
      </c>
      <c r="N280">
        <v>43552</v>
      </c>
    </row>
    <row r="281" spans="1:16" x14ac:dyDescent="0.15">
      <c r="A281">
        <v>25988257</v>
      </c>
      <c r="B281">
        <v>27293190</v>
      </c>
      <c r="E281">
        <v>31495861</v>
      </c>
      <c r="F281">
        <v>32269293</v>
      </c>
      <c r="G281" t="s">
        <v>3863</v>
      </c>
      <c r="H281" t="s">
        <v>11715</v>
      </c>
      <c r="I281" t="s">
        <v>3873</v>
      </c>
      <c r="J281" t="s">
        <v>11716</v>
      </c>
      <c r="K281" t="s">
        <v>11634</v>
      </c>
      <c r="L281">
        <v>2020</v>
      </c>
      <c r="M281" t="s">
        <v>11466</v>
      </c>
      <c r="N281">
        <v>43931</v>
      </c>
      <c r="O281" t="s">
        <v>11717</v>
      </c>
    </row>
    <row r="282" spans="1:16" x14ac:dyDescent="0.15">
      <c r="A282">
        <v>32134252</v>
      </c>
      <c r="B282">
        <v>34135428</v>
      </c>
      <c r="E282">
        <v>35830762</v>
      </c>
      <c r="F282">
        <v>29750752</v>
      </c>
      <c r="G282" t="s">
        <v>7811</v>
      </c>
      <c r="H282" t="s">
        <v>11724</v>
      </c>
      <c r="I282" t="s">
        <v>7819</v>
      </c>
      <c r="J282" t="s">
        <v>11725</v>
      </c>
      <c r="K282" t="s">
        <v>11726</v>
      </c>
      <c r="L282">
        <v>2018</v>
      </c>
      <c r="M282" t="s">
        <v>11727</v>
      </c>
      <c r="N282">
        <v>43232</v>
      </c>
    </row>
    <row r="283" spans="1:16" x14ac:dyDescent="0.15">
      <c r="A283" t="s">
        <v>74</v>
      </c>
      <c r="B283">
        <v>26973197</v>
      </c>
      <c r="E283">
        <v>31322581</v>
      </c>
      <c r="F283">
        <v>33217521</v>
      </c>
      <c r="G283" t="s">
        <v>11728</v>
      </c>
      <c r="H283" t="s">
        <v>11729</v>
      </c>
      <c r="I283" t="s">
        <v>4257</v>
      </c>
      <c r="J283" t="s">
        <v>11730</v>
      </c>
      <c r="K283" t="s">
        <v>11731</v>
      </c>
      <c r="L283">
        <v>2021</v>
      </c>
      <c r="M283" t="s">
        <v>11732</v>
      </c>
      <c r="N283">
        <v>44155</v>
      </c>
      <c r="O283" t="s">
        <v>11733</v>
      </c>
      <c r="P283" t="s">
        <v>11734</v>
      </c>
    </row>
    <row r="284" spans="1:16" x14ac:dyDescent="0.15">
      <c r="A284">
        <v>31660712</v>
      </c>
      <c r="B284">
        <v>31581745</v>
      </c>
      <c r="E284">
        <v>26409934</v>
      </c>
      <c r="F284">
        <v>34098025</v>
      </c>
      <c r="G284" t="s">
        <v>2739</v>
      </c>
      <c r="H284" t="s">
        <v>11753</v>
      </c>
      <c r="I284" t="s">
        <v>2751</v>
      </c>
      <c r="J284" t="s">
        <v>11754</v>
      </c>
      <c r="K284" t="s">
        <v>11755</v>
      </c>
      <c r="L284">
        <v>2021</v>
      </c>
      <c r="M284" t="s">
        <v>11756</v>
      </c>
      <c r="N284">
        <v>44354</v>
      </c>
    </row>
    <row r="285" spans="1:16" x14ac:dyDescent="0.15">
      <c r="A285">
        <v>29484678</v>
      </c>
      <c r="B285">
        <v>33819778</v>
      </c>
      <c r="E285">
        <v>22025668</v>
      </c>
      <c r="F285">
        <v>34295456</v>
      </c>
      <c r="G285" t="s">
        <v>1593</v>
      </c>
      <c r="H285" t="s">
        <v>11767</v>
      </c>
      <c r="I285" t="s">
        <v>1604</v>
      </c>
      <c r="J285" t="s">
        <v>11768</v>
      </c>
      <c r="K285" t="s">
        <v>11769</v>
      </c>
      <c r="L285">
        <v>2021</v>
      </c>
      <c r="M285" t="s">
        <v>11525</v>
      </c>
      <c r="N285">
        <v>44400</v>
      </c>
      <c r="O285" t="s">
        <v>11770</v>
      </c>
    </row>
    <row r="286" spans="1:16" x14ac:dyDescent="0.15">
      <c r="A286">
        <v>33917426</v>
      </c>
      <c r="B286">
        <v>29051321</v>
      </c>
      <c r="E286">
        <v>21616097</v>
      </c>
      <c r="F286">
        <v>29971917</v>
      </c>
      <c r="G286" t="s">
        <v>1623</v>
      </c>
      <c r="H286" t="s">
        <v>11776</v>
      </c>
      <c r="I286" t="s">
        <v>1634</v>
      </c>
      <c r="J286" t="s">
        <v>11777</v>
      </c>
      <c r="K286" t="s">
        <v>11778</v>
      </c>
      <c r="L286">
        <v>2018</v>
      </c>
      <c r="M286" t="s">
        <v>11779</v>
      </c>
      <c r="N286">
        <v>43286</v>
      </c>
    </row>
    <row r="287" spans="1:16" x14ac:dyDescent="0.15">
      <c r="A287">
        <v>33850235</v>
      </c>
      <c r="B287">
        <v>35467282</v>
      </c>
      <c r="E287">
        <v>23774836</v>
      </c>
      <c r="F287">
        <v>35731982</v>
      </c>
      <c r="G287" t="s">
        <v>2514</v>
      </c>
      <c r="H287" t="s">
        <v>11780</v>
      </c>
      <c r="I287" t="s">
        <v>2522</v>
      </c>
      <c r="J287" t="s">
        <v>11781</v>
      </c>
      <c r="K287" t="s">
        <v>11782</v>
      </c>
      <c r="L287">
        <v>2022</v>
      </c>
      <c r="M287" t="s">
        <v>11453</v>
      </c>
      <c r="N287">
        <v>44734</v>
      </c>
    </row>
    <row r="288" spans="1:16" x14ac:dyDescent="0.15">
      <c r="A288">
        <v>32980480</v>
      </c>
      <c r="B288">
        <v>34229724</v>
      </c>
      <c r="E288">
        <v>22100842</v>
      </c>
      <c r="F288">
        <v>33753167</v>
      </c>
      <c r="G288" t="s">
        <v>4867</v>
      </c>
      <c r="H288" t="s">
        <v>11797</v>
      </c>
      <c r="I288" t="s">
        <v>4877</v>
      </c>
      <c r="J288" t="s">
        <v>11798</v>
      </c>
      <c r="K288" t="s">
        <v>11799</v>
      </c>
      <c r="L288">
        <v>2021</v>
      </c>
      <c r="M288" t="s">
        <v>11800</v>
      </c>
      <c r="N288">
        <v>44278</v>
      </c>
      <c r="O288" t="s">
        <v>11801</v>
      </c>
    </row>
    <row r="289" spans="1:16" x14ac:dyDescent="0.15">
      <c r="A289">
        <v>33580122</v>
      </c>
      <c r="B289">
        <v>27351774</v>
      </c>
      <c r="E289">
        <v>21102562</v>
      </c>
      <c r="F289">
        <v>33917426</v>
      </c>
      <c r="G289" t="s">
        <v>11802</v>
      </c>
      <c r="H289" t="s">
        <v>11803</v>
      </c>
      <c r="I289" t="s">
        <v>3017</v>
      </c>
      <c r="J289" t="s">
        <v>11804</v>
      </c>
      <c r="K289" t="s">
        <v>11805</v>
      </c>
      <c r="L289">
        <v>2021</v>
      </c>
      <c r="M289" t="s">
        <v>11553</v>
      </c>
      <c r="N289">
        <v>44316</v>
      </c>
      <c r="O289" t="s">
        <v>11806</v>
      </c>
    </row>
    <row r="290" spans="1:16" x14ac:dyDescent="0.15">
      <c r="A290">
        <v>33761899</v>
      </c>
      <c r="B290">
        <v>32020194</v>
      </c>
      <c r="E290">
        <v>25945690</v>
      </c>
      <c r="F290">
        <v>32028208</v>
      </c>
      <c r="G290" t="s">
        <v>7919</v>
      </c>
      <c r="H290" t="s">
        <v>11807</v>
      </c>
      <c r="I290" t="s">
        <v>7931</v>
      </c>
      <c r="J290" t="s">
        <v>11808</v>
      </c>
      <c r="K290" t="s">
        <v>11465</v>
      </c>
      <c r="L290">
        <v>2020</v>
      </c>
      <c r="M290" t="s">
        <v>11809</v>
      </c>
      <c r="N290">
        <v>43868</v>
      </c>
    </row>
    <row r="291" spans="1:16" x14ac:dyDescent="0.15">
      <c r="A291">
        <v>35027662</v>
      </c>
      <c r="B291">
        <v>32471033</v>
      </c>
      <c r="E291">
        <v>22315426</v>
      </c>
      <c r="F291">
        <v>32602227</v>
      </c>
      <c r="G291" t="s">
        <v>11810</v>
      </c>
      <c r="H291" t="s">
        <v>11811</v>
      </c>
      <c r="I291" t="s">
        <v>5773</v>
      </c>
      <c r="J291" t="s">
        <v>11812</v>
      </c>
      <c r="K291" t="s">
        <v>11813</v>
      </c>
      <c r="L291">
        <v>2020</v>
      </c>
      <c r="M291" t="s">
        <v>11814</v>
      </c>
      <c r="N291">
        <v>44013</v>
      </c>
      <c r="O291" t="s">
        <v>11815</v>
      </c>
      <c r="P291" t="s">
        <v>11816</v>
      </c>
    </row>
    <row r="292" spans="1:16" x14ac:dyDescent="0.15">
      <c r="A292">
        <v>35696959</v>
      </c>
      <c r="B292">
        <v>33403678</v>
      </c>
      <c r="E292">
        <v>30412280</v>
      </c>
      <c r="F292">
        <v>28811546</v>
      </c>
      <c r="G292" t="s">
        <v>3432</v>
      </c>
      <c r="H292" t="s">
        <v>11817</v>
      </c>
      <c r="I292" t="s">
        <v>3442</v>
      </c>
      <c r="J292" t="s">
        <v>11818</v>
      </c>
      <c r="K292" t="s">
        <v>11819</v>
      </c>
      <c r="L292">
        <v>2017</v>
      </c>
      <c r="M292" t="s">
        <v>11466</v>
      </c>
      <c r="N292">
        <v>42964</v>
      </c>
      <c r="O292" t="s">
        <v>11820</v>
      </c>
    </row>
    <row r="293" spans="1:16" x14ac:dyDescent="0.15">
      <c r="A293">
        <v>28743887</v>
      </c>
      <c r="B293">
        <v>32574550</v>
      </c>
      <c r="E293">
        <v>25955720</v>
      </c>
      <c r="F293">
        <v>33275138</v>
      </c>
      <c r="G293" t="s">
        <v>8271</v>
      </c>
      <c r="H293" t="s">
        <v>11821</v>
      </c>
      <c r="I293" t="s">
        <v>8284</v>
      </c>
      <c r="J293" t="s">
        <v>11822</v>
      </c>
      <c r="K293" t="s">
        <v>11823</v>
      </c>
      <c r="L293">
        <v>2021</v>
      </c>
      <c r="M293" t="s">
        <v>11226</v>
      </c>
      <c r="N293">
        <v>44169</v>
      </c>
      <c r="O293" t="s">
        <v>11824</v>
      </c>
    </row>
    <row r="294" spans="1:16" x14ac:dyDescent="0.15">
      <c r="A294">
        <v>34696694</v>
      </c>
      <c r="B294">
        <v>31143191</v>
      </c>
      <c r="E294">
        <v>16240989</v>
      </c>
      <c r="F294">
        <v>34572021</v>
      </c>
      <c r="G294" t="s">
        <v>2312</v>
      </c>
      <c r="H294" t="s">
        <v>11825</v>
      </c>
      <c r="I294" t="s">
        <v>2322</v>
      </c>
      <c r="J294" t="s">
        <v>11826</v>
      </c>
      <c r="K294" t="s">
        <v>11827</v>
      </c>
      <c r="L294">
        <v>2021</v>
      </c>
      <c r="M294" t="s">
        <v>11553</v>
      </c>
      <c r="N294">
        <v>44467</v>
      </c>
      <c r="O294" t="s">
        <v>11828</v>
      </c>
    </row>
    <row r="295" spans="1:16" x14ac:dyDescent="0.15">
      <c r="A295">
        <v>29986209</v>
      </c>
      <c r="B295">
        <v>2655710</v>
      </c>
      <c r="E295">
        <v>24022222</v>
      </c>
      <c r="F295">
        <v>31017389</v>
      </c>
      <c r="G295" t="s">
        <v>3519</v>
      </c>
      <c r="H295" t="s">
        <v>11829</v>
      </c>
      <c r="I295" t="s">
        <v>3529</v>
      </c>
      <c r="J295" t="s">
        <v>11830</v>
      </c>
      <c r="K295" t="s">
        <v>11831</v>
      </c>
      <c r="L295">
        <v>2019</v>
      </c>
      <c r="M295" t="s">
        <v>11714</v>
      </c>
      <c r="N295">
        <v>43580</v>
      </c>
    </row>
    <row r="296" spans="1:16" x14ac:dyDescent="0.15">
      <c r="A296">
        <v>33007940</v>
      </c>
      <c r="B296">
        <v>30499000</v>
      </c>
      <c r="E296">
        <v>24487619</v>
      </c>
      <c r="F296">
        <v>30139385</v>
      </c>
      <c r="G296" t="s">
        <v>5547</v>
      </c>
      <c r="H296" t="s">
        <v>11832</v>
      </c>
      <c r="I296" t="s">
        <v>5557</v>
      </c>
      <c r="J296" t="s">
        <v>11833</v>
      </c>
      <c r="K296" t="s">
        <v>11834</v>
      </c>
      <c r="L296">
        <v>2018</v>
      </c>
      <c r="M296" t="s">
        <v>11423</v>
      </c>
      <c r="N296">
        <v>43337</v>
      </c>
      <c r="O296" t="s">
        <v>11835</v>
      </c>
    </row>
    <row r="297" spans="1:16" x14ac:dyDescent="0.15">
      <c r="A297">
        <v>30206166</v>
      </c>
      <c r="B297">
        <v>32706245</v>
      </c>
      <c r="E297">
        <v>21376534</v>
      </c>
      <c r="F297">
        <v>28088446</v>
      </c>
      <c r="G297" t="s">
        <v>3446</v>
      </c>
      <c r="H297" t="s">
        <v>11836</v>
      </c>
      <c r="I297" t="s">
        <v>3459</v>
      </c>
      <c r="J297" t="s">
        <v>11837</v>
      </c>
      <c r="K297" t="s">
        <v>11838</v>
      </c>
      <c r="L297">
        <v>2017</v>
      </c>
      <c r="M297" t="s">
        <v>11839</v>
      </c>
      <c r="N297">
        <v>42751</v>
      </c>
    </row>
    <row r="298" spans="1:16" x14ac:dyDescent="0.15">
      <c r="A298">
        <v>31017389</v>
      </c>
      <c r="B298">
        <v>30234974</v>
      </c>
      <c r="E298">
        <v>32004570</v>
      </c>
      <c r="F298">
        <v>33369394</v>
      </c>
      <c r="G298" t="s">
        <v>6726</v>
      </c>
      <c r="H298" t="s">
        <v>11840</v>
      </c>
      <c r="I298" t="s">
        <v>6733</v>
      </c>
      <c r="J298" t="s">
        <v>11841</v>
      </c>
      <c r="K298" t="s">
        <v>11842</v>
      </c>
      <c r="L298">
        <v>2021</v>
      </c>
      <c r="M298" t="s">
        <v>11453</v>
      </c>
      <c r="N298">
        <v>44193</v>
      </c>
    </row>
    <row r="299" spans="1:16" x14ac:dyDescent="0.15">
      <c r="A299">
        <v>30088371</v>
      </c>
      <c r="B299">
        <v>27179617</v>
      </c>
      <c r="E299">
        <v>18974299</v>
      </c>
      <c r="F299">
        <v>30551256</v>
      </c>
      <c r="G299" t="s">
        <v>5728</v>
      </c>
      <c r="H299" t="s">
        <v>11843</v>
      </c>
      <c r="I299" t="s">
        <v>5742</v>
      </c>
      <c r="J299" t="s">
        <v>11844</v>
      </c>
      <c r="K299" t="s">
        <v>11845</v>
      </c>
      <c r="L299">
        <v>2018</v>
      </c>
      <c r="M299" t="s">
        <v>11846</v>
      </c>
      <c r="N299">
        <v>43449</v>
      </c>
      <c r="O299" t="s">
        <v>11847</v>
      </c>
    </row>
    <row r="300" spans="1:16" x14ac:dyDescent="0.15">
      <c r="A300">
        <v>32705286</v>
      </c>
      <c r="B300">
        <v>31160785</v>
      </c>
      <c r="E300">
        <v>24816817</v>
      </c>
      <c r="F300">
        <v>32634139</v>
      </c>
      <c r="G300" t="s">
        <v>7978</v>
      </c>
      <c r="H300" t="s">
        <v>11848</v>
      </c>
      <c r="I300" t="s">
        <v>11852</v>
      </c>
      <c r="J300" t="s">
        <v>11849</v>
      </c>
      <c r="K300" t="s">
        <v>11850</v>
      </c>
      <c r="L300">
        <v>2020</v>
      </c>
      <c r="M300" t="s">
        <v>11650</v>
      </c>
      <c r="N300">
        <v>44020</v>
      </c>
      <c r="O300" t="s">
        <v>11851</v>
      </c>
    </row>
    <row r="301" spans="1:16" x14ac:dyDescent="0.15">
      <c r="A301">
        <v>32765789</v>
      </c>
      <c r="B301">
        <v>35590205</v>
      </c>
      <c r="E301">
        <v>28878382</v>
      </c>
      <c r="F301">
        <v>28470712</v>
      </c>
      <c r="G301" t="s">
        <v>6137</v>
      </c>
      <c r="H301" t="s">
        <v>11853</v>
      </c>
      <c r="I301" t="s">
        <v>6150</v>
      </c>
      <c r="J301" t="s">
        <v>11854</v>
      </c>
      <c r="K301" t="s">
        <v>11855</v>
      </c>
      <c r="L301">
        <v>2017</v>
      </c>
      <c r="M301" t="s">
        <v>11856</v>
      </c>
      <c r="N301">
        <v>42860</v>
      </c>
    </row>
    <row r="302" spans="1:16" x14ac:dyDescent="0.15">
      <c r="A302">
        <v>30758240</v>
      </c>
      <c r="B302">
        <v>29593276</v>
      </c>
      <c r="E302">
        <v>23303825</v>
      </c>
      <c r="F302">
        <v>30542983</v>
      </c>
      <c r="G302" t="s">
        <v>242</v>
      </c>
      <c r="H302" t="s">
        <v>11857</v>
      </c>
      <c r="I302" t="s">
        <v>255</v>
      </c>
      <c r="J302" t="s">
        <v>11858</v>
      </c>
      <c r="K302" t="s">
        <v>11859</v>
      </c>
      <c r="L302">
        <v>2019</v>
      </c>
      <c r="M302" t="s">
        <v>11860</v>
      </c>
      <c r="N302">
        <v>43448</v>
      </c>
    </row>
    <row r="303" spans="1:16" x14ac:dyDescent="0.15">
      <c r="A303">
        <v>33991505</v>
      </c>
      <c r="B303">
        <v>21172122</v>
      </c>
      <c r="E303">
        <v>31262819</v>
      </c>
      <c r="F303">
        <v>30247599</v>
      </c>
      <c r="G303" t="s">
        <v>7524</v>
      </c>
      <c r="H303" t="s">
        <v>11868</v>
      </c>
      <c r="I303" t="s">
        <v>7534</v>
      </c>
      <c r="J303" t="s">
        <v>11869</v>
      </c>
      <c r="K303" t="s">
        <v>11870</v>
      </c>
      <c r="L303">
        <v>2018</v>
      </c>
      <c r="M303" t="s">
        <v>11871</v>
      </c>
      <c r="N303">
        <v>43368</v>
      </c>
      <c r="O303" t="s">
        <v>11872</v>
      </c>
    </row>
    <row r="304" spans="1:16" x14ac:dyDescent="0.15">
      <c r="A304">
        <v>32603586</v>
      </c>
      <c r="B304">
        <v>28774835</v>
      </c>
      <c r="E304">
        <v>30521613</v>
      </c>
      <c r="F304">
        <v>32594744</v>
      </c>
      <c r="G304" t="s">
        <v>7730</v>
      </c>
      <c r="H304" t="s">
        <v>11873</v>
      </c>
      <c r="I304" t="s">
        <v>7740</v>
      </c>
      <c r="J304" t="s">
        <v>11874</v>
      </c>
      <c r="K304" t="s">
        <v>11875</v>
      </c>
      <c r="L304">
        <v>2020</v>
      </c>
      <c r="M304" t="s">
        <v>11714</v>
      </c>
      <c r="N304">
        <v>44012</v>
      </c>
    </row>
    <row r="305" spans="1:16" x14ac:dyDescent="0.15">
      <c r="A305">
        <v>29330365</v>
      </c>
      <c r="B305">
        <v>34747596</v>
      </c>
      <c r="E305">
        <v>26098692</v>
      </c>
      <c r="F305">
        <v>22506041</v>
      </c>
      <c r="G305" t="s">
        <v>11883</v>
      </c>
      <c r="H305" t="s">
        <v>11884</v>
      </c>
      <c r="I305" t="s">
        <v>1022</v>
      </c>
      <c r="J305" t="s">
        <v>11885</v>
      </c>
      <c r="K305" t="s">
        <v>11886</v>
      </c>
      <c r="L305">
        <v>2012</v>
      </c>
      <c r="M305" t="s">
        <v>11650</v>
      </c>
      <c r="N305">
        <v>41016</v>
      </c>
      <c r="O305" t="s">
        <v>11887</v>
      </c>
    </row>
    <row r="306" spans="1:16" x14ac:dyDescent="0.15">
      <c r="A306">
        <v>33278692</v>
      </c>
      <c r="B306">
        <v>32867502</v>
      </c>
      <c r="E306">
        <v>32343702</v>
      </c>
      <c r="F306">
        <v>33086079</v>
      </c>
      <c r="G306" t="s">
        <v>5791</v>
      </c>
      <c r="H306" t="s">
        <v>11888</v>
      </c>
      <c r="I306" t="s">
        <v>5804</v>
      </c>
      <c r="J306" t="s">
        <v>11889</v>
      </c>
      <c r="K306" t="s">
        <v>11890</v>
      </c>
      <c r="L306">
        <v>2021</v>
      </c>
      <c r="M306" t="s">
        <v>11891</v>
      </c>
      <c r="N306">
        <v>44125</v>
      </c>
    </row>
    <row r="307" spans="1:16" x14ac:dyDescent="0.15">
      <c r="A307">
        <v>31478613</v>
      </c>
      <c r="B307">
        <v>30760538</v>
      </c>
      <c r="E307">
        <v>26554030</v>
      </c>
      <c r="F307">
        <v>29986209</v>
      </c>
      <c r="G307" t="s">
        <v>3373</v>
      </c>
      <c r="H307" t="s">
        <v>11892</v>
      </c>
      <c r="I307" t="s">
        <v>3384</v>
      </c>
      <c r="J307" t="s">
        <v>11893</v>
      </c>
      <c r="K307" t="s">
        <v>11894</v>
      </c>
      <c r="L307">
        <v>2018</v>
      </c>
      <c r="M307" t="s">
        <v>11895</v>
      </c>
      <c r="N307">
        <v>43291</v>
      </c>
      <c r="O307" t="s">
        <v>11896</v>
      </c>
    </row>
    <row r="308" spans="1:16" x14ac:dyDescent="0.15">
      <c r="A308">
        <v>32269293</v>
      </c>
      <c r="B308">
        <v>31495861</v>
      </c>
      <c r="E308">
        <v>24259003</v>
      </c>
      <c r="F308">
        <v>34772443</v>
      </c>
      <c r="G308" t="s">
        <v>3284</v>
      </c>
      <c r="H308" t="s">
        <v>11915</v>
      </c>
      <c r="I308" t="s">
        <v>3296</v>
      </c>
      <c r="J308" t="s">
        <v>11916</v>
      </c>
      <c r="K308" t="s">
        <v>11917</v>
      </c>
      <c r="L308">
        <v>2021</v>
      </c>
      <c r="M308" t="s">
        <v>11918</v>
      </c>
      <c r="N308">
        <v>44513</v>
      </c>
      <c r="O308" t="s">
        <v>11919</v>
      </c>
    </row>
    <row r="309" spans="1:16" x14ac:dyDescent="0.15">
      <c r="A309" t="s">
        <v>74</v>
      </c>
      <c r="B309">
        <v>33025277</v>
      </c>
      <c r="E309">
        <v>17448744</v>
      </c>
      <c r="F309">
        <v>29109780</v>
      </c>
      <c r="G309" t="s">
        <v>1362</v>
      </c>
      <c r="H309" t="s">
        <v>11920</v>
      </c>
      <c r="I309" t="s">
        <v>1372</v>
      </c>
      <c r="J309" t="s">
        <v>11921</v>
      </c>
      <c r="K309" t="s">
        <v>11922</v>
      </c>
      <c r="L309">
        <v>2017</v>
      </c>
      <c r="M309" t="s">
        <v>11172</v>
      </c>
      <c r="N309">
        <v>43047</v>
      </c>
      <c r="O309" t="s">
        <v>11923</v>
      </c>
    </row>
    <row r="310" spans="1:16" x14ac:dyDescent="0.15">
      <c r="A310">
        <v>27793845</v>
      </c>
      <c r="B310">
        <v>35830762</v>
      </c>
      <c r="E310">
        <v>30971101</v>
      </c>
      <c r="F310">
        <v>33978996</v>
      </c>
      <c r="G310" t="s">
        <v>7011</v>
      </c>
      <c r="H310" t="s">
        <v>11924</v>
      </c>
      <c r="I310" t="s">
        <v>7021</v>
      </c>
      <c r="J310" t="s">
        <v>11925</v>
      </c>
      <c r="K310" t="s">
        <v>11926</v>
      </c>
      <c r="L310">
        <v>2021</v>
      </c>
      <c r="M310" t="s">
        <v>11927</v>
      </c>
      <c r="N310">
        <v>44328</v>
      </c>
    </row>
    <row r="311" spans="1:16" x14ac:dyDescent="0.15">
      <c r="A311">
        <v>33597619</v>
      </c>
      <c r="B311">
        <v>31322581</v>
      </c>
      <c r="E311">
        <v>22074924</v>
      </c>
      <c r="F311">
        <v>31843276</v>
      </c>
      <c r="G311" t="s">
        <v>11928</v>
      </c>
      <c r="H311" t="s">
        <v>11929</v>
      </c>
      <c r="I311" t="s">
        <v>7888</v>
      </c>
      <c r="J311" t="s">
        <v>11930</v>
      </c>
      <c r="K311" t="s">
        <v>11931</v>
      </c>
      <c r="L311">
        <v>2020</v>
      </c>
      <c r="M311" t="s">
        <v>11932</v>
      </c>
      <c r="N311">
        <v>43817</v>
      </c>
      <c r="O311" t="s">
        <v>11933</v>
      </c>
    </row>
    <row r="312" spans="1:16" x14ac:dyDescent="0.15">
      <c r="A312">
        <v>34284459</v>
      </c>
      <c r="B312">
        <v>35538484</v>
      </c>
      <c r="E312">
        <v>21248205</v>
      </c>
      <c r="F312">
        <v>30536653</v>
      </c>
      <c r="G312" t="s">
        <v>7072</v>
      </c>
      <c r="H312" t="s">
        <v>11969</v>
      </c>
      <c r="I312" t="s">
        <v>7082</v>
      </c>
      <c r="J312" t="s">
        <v>11970</v>
      </c>
      <c r="K312" t="s">
        <v>11971</v>
      </c>
      <c r="L312">
        <v>2019</v>
      </c>
      <c r="M312" t="s">
        <v>11856</v>
      </c>
      <c r="N312">
        <v>43446</v>
      </c>
    </row>
    <row r="313" spans="1:16" x14ac:dyDescent="0.15">
      <c r="A313">
        <v>26846451</v>
      </c>
      <c r="B313">
        <v>32444558</v>
      </c>
      <c r="E313">
        <v>22504169</v>
      </c>
      <c r="F313">
        <v>32065171</v>
      </c>
      <c r="G313" t="s">
        <v>1608</v>
      </c>
      <c r="H313" t="s">
        <v>11972</v>
      </c>
      <c r="I313" t="s">
        <v>1619</v>
      </c>
      <c r="J313" t="s">
        <v>11973</v>
      </c>
      <c r="K313" t="s">
        <v>11974</v>
      </c>
      <c r="L313">
        <v>2020</v>
      </c>
      <c r="M313" t="s">
        <v>11975</v>
      </c>
      <c r="N313">
        <v>43879</v>
      </c>
    </row>
    <row r="314" spans="1:16" x14ac:dyDescent="0.15">
      <c r="A314">
        <v>32671095</v>
      </c>
      <c r="B314">
        <v>29747217</v>
      </c>
      <c r="E314">
        <v>12885772</v>
      </c>
      <c r="F314">
        <v>29382201</v>
      </c>
      <c r="G314" t="s">
        <v>3128</v>
      </c>
      <c r="H314" t="s">
        <v>11981</v>
      </c>
      <c r="I314" t="s">
        <v>3139</v>
      </c>
      <c r="J314" t="s">
        <v>11982</v>
      </c>
      <c r="K314" t="s">
        <v>11983</v>
      </c>
      <c r="L314">
        <v>2018</v>
      </c>
      <c r="M314" t="s">
        <v>11984</v>
      </c>
      <c r="N314">
        <v>43132</v>
      </c>
    </row>
    <row r="315" spans="1:16" x14ac:dyDescent="0.15">
      <c r="A315">
        <v>31232418</v>
      </c>
      <c r="B315">
        <v>26409934</v>
      </c>
      <c r="E315">
        <v>15136153</v>
      </c>
      <c r="F315">
        <v>29192155</v>
      </c>
      <c r="G315" t="s">
        <v>7456</v>
      </c>
      <c r="H315" t="s">
        <v>11990</v>
      </c>
      <c r="I315" t="s">
        <v>7464</v>
      </c>
      <c r="J315" t="s">
        <v>11991</v>
      </c>
      <c r="K315" t="s">
        <v>11992</v>
      </c>
      <c r="L315">
        <v>2017</v>
      </c>
      <c r="M315" t="s">
        <v>11466</v>
      </c>
      <c r="N315">
        <v>43071</v>
      </c>
      <c r="O315" t="s">
        <v>11993</v>
      </c>
    </row>
    <row r="316" spans="1:16" x14ac:dyDescent="0.15">
      <c r="A316">
        <v>30596665</v>
      </c>
      <c r="B316">
        <v>34365576</v>
      </c>
      <c r="E316">
        <v>1418007</v>
      </c>
      <c r="F316">
        <v>33753455</v>
      </c>
      <c r="G316" t="s">
        <v>5292</v>
      </c>
      <c r="H316" t="s">
        <v>12000</v>
      </c>
      <c r="I316" t="s">
        <v>5302</v>
      </c>
      <c r="J316" t="s">
        <v>12001</v>
      </c>
      <c r="K316" t="s">
        <v>12002</v>
      </c>
      <c r="L316">
        <v>2021</v>
      </c>
      <c r="M316" t="s">
        <v>12003</v>
      </c>
      <c r="N316">
        <v>44278</v>
      </c>
      <c r="O316" t="s">
        <v>12004</v>
      </c>
      <c r="P316" t="s">
        <v>12005</v>
      </c>
    </row>
    <row r="317" spans="1:16" x14ac:dyDescent="0.15">
      <c r="A317" t="s">
        <v>74</v>
      </c>
      <c r="B317">
        <v>17187173</v>
      </c>
      <c r="E317">
        <v>35323012</v>
      </c>
      <c r="F317">
        <v>28975808</v>
      </c>
      <c r="G317" t="s">
        <v>4289</v>
      </c>
      <c r="H317" t="s">
        <v>12019</v>
      </c>
      <c r="I317" t="s">
        <v>4302</v>
      </c>
      <c r="J317" t="s">
        <v>12020</v>
      </c>
      <c r="K317" t="s">
        <v>12021</v>
      </c>
      <c r="L317">
        <v>2018</v>
      </c>
      <c r="M317" t="s">
        <v>12022</v>
      </c>
      <c r="N317">
        <v>43013</v>
      </c>
    </row>
    <row r="318" spans="1:16" x14ac:dyDescent="0.15">
      <c r="A318">
        <v>28975808</v>
      </c>
      <c r="B318">
        <v>22025668</v>
      </c>
      <c r="E318">
        <v>31138886</v>
      </c>
      <c r="F318">
        <v>32544093</v>
      </c>
      <c r="G318" t="s">
        <v>12023</v>
      </c>
      <c r="H318" t="s">
        <v>12024</v>
      </c>
      <c r="I318" t="s">
        <v>6212</v>
      </c>
      <c r="J318" t="s">
        <v>12025</v>
      </c>
      <c r="K318" t="s">
        <v>12026</v>
      </c>
      <c r="L318">
        <v>2020</v>
      </c>
      <c r="M318" t="s">
        <v>12027</v>
      </c>
      <c r="N318">
        <v>43999</v>
      </c>
      <c r="O318" t="s">
        <v>12028</v>
      </c>
    </row>
    <row r="319" spans="1:16" x14ac:dyDescent="0.15">
      <c r="A319">
        <v>26172304</v>
      </c>
      <c r="B319">
        <v>31311428</v>
      </c>
      <c r="E319">
        <v>24933019</v>
      </c>
      <c r="F319">
        <v>33311558</v>
      </c>
      <c r="G319" t="s">
        <v>6442</v>
      </c>
      <c r="H319" t="s">
        <v>12029</v>
      </c>
      <c r="I319" t="s">
        <v>6450</v>
      </c>
      <c r="J319" t="s">
        <v>12030</v>
      </c>
      <c r="K319" t="s">
        <v>12031</v>
      </c>
      <c r="L319">
        <v>2020</v>
      </c>
      <c r="M319" t="s">
        <v>11466</v>
      </c>
      <c r="N319">
        <v>44179</v>
      </c>
      <c r="O319" t="s">
        <v>12032</v>
      </c>
    </row>
    <row r="320" spans="1:16" x14ac:dyDescent="0.15">
      <c r="A320">
        <v>33226554</v>
      </c>
      <c r="B320">
        <v>21616097</v>
      </c>
      <c r="E320">
        <v>22505472</v>
      </c>
      <c r="F320">
        <v>30519544</v>
      </c>
      <c r="G320" t="s">
        <v>2075</v>
      </c>
      <c r="H320" t="s">
        <v>12033</v>
      </c>
      <c r="I320" t="s">
        <v>2088</v>
      </c>
      <c r="J320" t="s">
        <v>12034</v>
      </c>
      <c r="K320" t="s">
        <v>12035</v>
      </c>
      <c r="L320">
        <v>2018</v>
      </c>
      <c r="M320" t="s">
        <v>12036</v>
      </c>
      <c r="N320">
        <v>43441</v>
      </c>
      <c r="O320" t="s">
        <v>12037</v>
      </c>
    </row>
    <row r="321" spans="1:16" x14ac:dyDescent="0.15">
      <c r="A321">
        <v>31932899</v>
      </c>
      <c r="B321">
        <v>23774836</v>
      </c>
      <c r="E321">
        <v>29648974</v>
      </c>
      <c r="F321">
        <v>30279572</v>
      </c>
      <c r="G321" t="s">
        <v>8556</v>
      </c>
      <c r="H321" t="s">
        <v>12038</v>
      </c>
      <c r="I321" t="s">
        <v>8564</v>
      </c>
      <c r="J321" t="s">
        <v>12039</v>
      </c>
      <c r="K321" t="s">
        <v>12040</v>
      </c>
      <c r="L321">
        <v>2018</v>
      </c>
      <c r="M321" t="s">
        <v>11466</v>
      </c>
      <c r="N321">
        <v>43377</v>
      </c>
      <c r="O321" t="s">
        <v>12041</v>
      </c>
    </row>
    <row r="322" spans="1:16" x14ac:dyDescent="0.15">
      <c r="A322">
        <v>27919931</v>
      </c>
      <c r="B322">
        <v>31331349</v>
      </c>
      <c r="E322">
        <v>35605028</v>
      </c>
      <c r="F322">
        <v>29558959</v>
      </c>
      <c r="G322" t="s">
        <v>7861</v>
      </c>
      <c r="H322" t="s">
        <v>12054</v>
      </c>
      <c r="I322" t="s">
        <v>7872</v>
      </c>
      <c r="J322" t="s">
        <v>12055</v>
      </c>
      <c r="K322" t="s">
        <v>12056</v>
      </c>
      <c r="L322">
        <v>2018</v>
      </c>
      <c r="M322" t="s">
        <v>11423</v>
      </c>
      <c r="N322">
        <v>43181</v>
      </c>
      <c r="O322" t="s">
        <v>12057</v>
      </c>
    </row>
    <row r="323" spans="1:16" x14ac:dyDescent="0.15">
      <c r="A323">
        <v>31004923</v>
      </c>
      <c r="B323">
        <v>30301925</v>
      </c>
      <c r="E323">
        <v>30346568</v>
      </c>
      <c r="F323">
        <v>32315358</v>
      </c>
      <c r="G323" t="s">
        <v>12058</v>
      </c>
      <c r="H323" t="s">
        <v>12059</v>
      </c>
      <c r="I323" t="s">
        <v>6017</v>
      </c>
      <c r="J323" t="s">
        <v>12060</v>
      </c>
      <c r="K323" t="s">
        <v>12061</v>
      </c>
      <c r="L323">
        <v>2020</v>
      </c>
      <c r="M323" t="s">
        <v>12062</v>
      </c>
      <c r="N323">
        <v>43943</v>
      </c>
      <c r="O323" t="s">
        <v>12063</v>
      </c>
    </row>
    <row r="324" spans="1:16" x14ac:dyDescent="0.15">
      <c r="A324">
        <v>26667458</v>
      </c>
      <c r="B324">
        <v>22100842</v>
      </c>
      <c r="E324">
        <v>24211404</v>
      </c>
      <c r="F324">
        <v>31232418</v>
      </c>
      <c r="G324" t="s">
        <v>4161</v>
      </c>
      <c r="H324" t="s">
        <v>12070</v>
      </c>
      <c r="I324" t="s">
        <v>4170</v>
      </c>
      <c r="J324" t="s">
        <v>12071</v>
      </c>
      <c r="K324" t="s">
        <v>12072</v>
      </c>
      <c r="L324">
        <v>2019</v>
      </c>
      <c r="M324" t="s">
        <v>11702</v>
      </c>
      <c r="N324">
        <v>43641</v>
      </c>
      <c r="O324" t="s">
        <v>12073</v>
      </c>
      <c r="P324" t="s">
        <v>12074</v>
      </c>
    </row>
    <row r="325" spans="1:16" x14ac:dyDescent="0.15">
      <c r="A325">
        <v>32929347</v>
      </c>
      <c r="B325">
        <v>21102562</v>
      </c>
      <c r="E325">
        <v>23182441</v>
      </c>
      <c r="F325">
        <v>27753024</v>
      </c>
      <c r="G325" t="s">
        <v>749</v>
      </c>
      <c r="H325" t="s">
        <v>12075</v>
      </c>
      <c r="I325" t="s">
        <v>767</v>
      </c>
      <c r="J325" t="s">
        <v>12076</v>
      </c>
      <c r="K325" t="s">
        <v>12077</v>
      </c>
      <c r="L325">
        <v>2016</v>
      </c>
      <c r="M325" t="s">
        <v>12078</v>
      </c>
      <c r="N325">
        <v>42662</v>
      </c>
    </row>
    <row r="326" spans="1:16" x14ac:dyDescent="0.15">
      <c r="A326">
        <v>32232575</v>
      </c>
      <c r="B326">
        <v>25945690</v>
      </c>
      <c r="E326">
        <v>23284625</v>
      </c>
      <c r="F326">
        <v>33040492</v>
      </c>
      <c r="G326" t="s">
        <v>4102</v>
      </c>
      <c r="H326" t="s">
        <v>12086</v>
      </c>
      <c r="I326" t="s">
        <v>4115</v>
      </c>
      <c r="J326" t="s">
        <v>12087</v>
      </c>
      <c r="K326" t="s">
        <v>12088</v>
      </c>
      <c r="L326">
        <v>2021</v>
      </c>
      <c r="M326" t="s">
        <v>12089</v>
      </c>
      <c r="N326">
        <v>44115</v>
      </c>
      <c r="O326" t="s">
        <v>12090</v>
      </c>
      <c r="P326" t="s">
        <v>12091</v>
      </c>
    </row>
    <row r="327" spans="1:16" x14ac:dyDescent="0.15">
      <c r="A327">
        <v>28121262</v>
      </c>
      <c r="B327">
        <v>22315426</v>
      </c>
      <c r="E327">
        <v>31150422</v>
      </c>
      <c r="F327">
        <v>27793845</v>
      </c>
      <c r="G327" t="s">
        <v>3939</v>
      </c>
      <c r="H327" t="s">
        <v>12092</v>
      </c>
      <c r="I327" t="s">
        <v>3951</v>
      </c>
      <c r="J327" t="s">
        <v>12093</v>
      </c>
      <c r="K327" t="s">
        <v>12094</v>
      </c>
      <c r="L327">
        <v>2017</v>
      </c>
      <c r="M327" t="s">
        <v>12095</v>
      </c>
      <c r="N327">
        <v>42673</v>
      </c>
    </row>
    <row r="328" spans="1:16" x14ac:dyDescent="0.15">
      <c r="A328">
        <v>31799396</v>
      </c>
      <c r="B328">
        <v>30412280</v>
      </c>
      <c r="E328">
        <v>34907783</v>
      </c>
      <c r="F328">
        <v>28121262</v>
      </c>
      <c r="G328" t="s">
        <v>4476</v>
      </c>
      <c r="H328" t="s">
        <v>12096</v>
      </c>
      <c r="I328" t="s">
        <v>4488</v>
      </c>
      <c r="J328" t="s">
        <v>12097</v>
      </c>
      <c r="K328" t="s">
        <v>12098</v>
      </c>
      <c r="L328">
        <v>2017</v>
      </c>
      <c r="M328" t="s">
        <v>12099</v>
      </c>
      <c r="N328">
        <v>42761</v>
      </c>
      <c r="O328" t="s">
        <v>12100</v>
      </c>
    </row>
    <row r="329" spans="1:16" x14ac:dyDescent="0.15">
      <c r="A329">
        <v>34771533</v>
      </c>
      <c r="B329">
        <v>25955720</v>
      </c>
      <c r="E329">
        <v>15031288</v>
      </c>
      <c r="F329">
        <v>29343810</v>
      </c>
      <c r="G329" t="s">
        <v>5341</v>
      </c>
      <c r="H329" t="s">
        <v>12113</v>
      </c>
      <c r="I329" t="s">
        <v>5351</v>
      </c>
      <c r="J329" t="s">
        <v>12114</v>
      </c>
      <c r="K329" t="s">
        <v>12115</v>
      </c>
      <c r="L329">
        <v>2018</v>
      </c>
      <c r="M329" t="s">
        <v>11466</v>
      </c>
      <c r="N329">
        <v>43119</v>
      </c>
      <c r="O329" t="s">
        <v>12116</v>
      </c>
    </row>
    <row r="330" spans="1:16" x14ac:dyDescent="0.15">
      <c r="A330">
        <v>29721020</v>
      </c>
      <c r="B330">
        <v>16240989</v>
      </c>
      <c r="E330">
        <v>23696541</v>
      </c>
      <c r="F330">
        <v>26412464</v>
      </c>
      <c r="G330" t="s">
        <v>1245</v>
      </c>
      <c r="H330" t="s">
        <v>12123</v>
      </c>
      <c r="I330" t="s">
        <v>1258</v>
      </c>
      <c r="J330" t="s">
        <v>12124</v>
      </c>
      <c r="K330" t="s">
        <v>12125</v>
      </c>
      <c r="L330">
        <v>2016</v>
      </c>
      <c r="M330" t="s">
        <v>12126</v>
      </c>
      <c r="N330">
        <v>42276</v>
      </c>
    </row>
    <row r="331" spans="1:16" x14ac:dyDescent="0.15">
      <c r="A331">
        <v>31596073</v>
      </c>
      <c r="B331">
        <v>24022222</v>
      </c>
      <c r="E331">
        <v>3007532</v>
      </c>
      <c r="F331">
        <v>32299821</v>
      </c>
      <c r="G331" t="s">
        <v>6186</v>
      </c>
      <c r="H331" t="s">
        <v>12146</v>
      </c>
      <c r="I331" t="s">
        <v>6195</v>
      </c>
      <c r="J331" t="s">
        <v>12147</v>
      </c>
      <c r="K331" t="s">
        <v>12148</v>
      </c>
      <c r="L331">
        <v>2020</v>
      </c>
      <c r="M331" t="s">
        <v>12003</v>
      </c>
      <c r="N331">
        <v>43939</v>
      </c>
      <c r="O331" t="s">
        <v>12149</v>
      </c>
      <c r="P331" t="s">
        <v>12150</v>
      </c>
    </row>
    <row r="332" spans="1:16" x14ac:dyDescent="0.15">
      <c r="A332">
        <v>29196999</v>
      </c>
      <c r="B332">
        <v>24487619</v>
      </c>
      <c r="E332">
        <v>35605011</v>
      </c>
      <c r="F332">
        <v>31684971</v>
      </c>
      <c r="G332" t="s">
        <v>1026</v>
      </c>
      <c r="H332" t="s">
        <v>12151</v>
      </c>
      <c r="I332" t="s">
        <v>1037</v>
      </c>
      <c r="J332" t="s">
        <v>12152</v>
      </c>
      <c r="K332" t="s">
        <v>12153</v>
      </c>
      <c r="L332">
        <v>2019</v>
      </c>
      <c r="M332" t="s">
        <v>12154</v>
      </c>
      <c r="N332">
        <v>43775</v>
      </c>
      <c r="O332" t="s">
        <v>12155</v>
      </c>
    </row>
    <row r="333" spans="1:16" x14ac:dyDescent="0.15">
      <c r="A333">
        <v>29715009</v>
      </c>
      <c r="B333">
        <v>21376534</v>
      </c>
      <c r="E333">
        <v>22723882</v>
      </c>
      <c r="F333">
        <v>31808871</v>
      </c>
      <c r="G333" t="s">
        <v>8663</v>
      </c>
      <c r="H333" t="s">
        <v>12156</v>
      </c>
      <c r="I333" t="s">
        <v>12161</v>
      </c>
      <c r="J333" t="s">
        <v>12157</v>
      </c>
      <c r="K333" t="s">
        <v>12158</v>
      </c>
      <c r="L333">
        <v>2019</v>
      </c>
      <c r="M333" t="s">
        <v>12159</v>
      </c>
      <c r="N333">
        <v>43806</v>
      </c>
      <c r="O333" t="s">
        <v>12160</v>
      </c>
    </row>
    <row r="334" spans="1:16" x14ac:dyDescent="0.15">
      <c r="A334">
        <v>28521461</v>
      </c>
      <c r="B334">
        <v>32004570</v>
      </c>
      <c r="E334">
        <v>9668172</v>
      </c>
      <c r="F334">
        <v>32134252</v>
      </c>
      <c r="G334" t="s">
        <v>2804</v>
      </c>
      <c r="H334" t="s">
        <v>12175</v>
      </c>
      <c r="I334" t="s">
        <v>2815</v>
      </c>
      <c r="J334" t="s">
        <v>12176</v>
      </c>
      <c r="K334" t="s">
        <v>12153</v>
      </c>
      <c r="L334">
        <v>2020</v>
      </c>
      <c r="M334" t="s">
        <v>11714</v>
      </c>
      <c r="N334">
        <v>43896</v>
      </c>
    </row>
    <row r="335" spans="1:16" x14ac:dyDescent="0.15">
      <c r="A335" t="s">
        <v>74</v>
      </c>
      <c r="B335">
        <v>18974299</v>
      </c>
      <c r="E335">
        <v>28844893</v>
      </c>
      <c r="F335">
        <v>31371728</v>
      </c>
      <c r="G335" t="s">
        <v>5253</v>
      </c>
      <c r="H335" t="s">
        <v>12177</v>
      </c>
      <c r="I335" t="s">
        <v>5261</v>
      </c>
      <c r="J335" t="s">
        <v>12178</v>
      </c>
      <c r="K335" t="s">
        <v>11164</v>
      </c>
      <c r="L335">
        <v>2019</v>
      </c>
      <c r="M335" t="s">
        <v>12179</v>
      </c>
      <c r="N335">
        <v>43680</v>
      </c>
      <c r="O335" t="s">
        <v>12180</v>
      </c>
    </row>
    <row r="336" spans="1:16" x14ac:dyDescent="0.15">
      <c r="A336">
        <v>31017799</v>
      </c>
      <c r="B336">
        <v>24816817</v>
      </c>
      <c r="E336">
        <v>26246178</v>
      </c>
      <c r="F336">
        <v>32246814</v>
      </c>
      <c r="G336" t="s">
        <v>9139</v>
      </c>
      <c r="H336" t="s">
        <v>12181</v>
      </c>
      <c r="I336" t="s">
        <v>9149</v>
      </c>
      <c r="J336" t="s">
        <v>12182</v>
      </c>
      <c r="K336" t="s">
        <v>12183</v>
      </c>
      <c r="L336">
        <v>2020</v>
      </c>
      <c r="M336" t="s">
        <v>12184</v>
      </c>
      <c r="N336">
        <v>43926</v>
      </c>
      <c r="O336" t="s">
        <v>12185</v>
      </c>
    </row>
    <row r="337" spans="1:16" x14ac:dyDescent="0.15">
      <c r="A337">
        <v>24748612</v>
      </c>
      <c r="B337">
        <v>28878382</v>
      </c>
      <c r="E337">
        <v>16461938</v>
      </c>
      <c r="F337">
        <v>31660712</v>
      </c>
      <c r="G337" t="s">
        <v>2912</v>
      </c>
      <c r="H337" t="s">
        <v>12186</v>
      </c>
      <c r="I337" t="s">
        <v>2920</v>
      </c>
      <c r="J337" t="s">
        <v>12187</v>
      </c>
      <c r="K337" t="s">
        <v>12188</v>
      </c>
      <c r="L337">
        <v>2019</v>
      </c>
      <c r="M337" t="s">
        <v>11453</v>
      </c>
      <c r="N337">
        <v>43768</v>
      </c>
    </row>
    <row r="338" spans="1:16" x14ac:dyDescent="0.15">
      <c r="A338">
        <v>28966872</v>
      </c>
      <c r="B338">
        <v>23303825</v>
      </c>
      <c r="E338">
        <v>35275615</v>
      </c>
      <c r="F338">
        <v>32744099</v>
      </c>
      <c r="G338" t="s">
        <v>2450</v>
      </c>
      <c r="H338" t="s">
        <v>12189</v>
      </c>
      <c r="I338" t="s">
        <v>2465</v>
      </c>
      <c r="J338" t="s">
        <v>12190</v>
      </c>
      <c r="K338" t="s">
        <v>12191</v>
      </c>
      <c r="L338">
        <v>2020</v>
      </c>
      <c r="M338" t="s">
        <v>12192</v>
      </c>
      <c r="N338">
        <v>44047</v>
      </c>
    </row>
    <row r="339" spans="1:16" x14ac:dyDescent="0.15">
      <c r="A339">
        <v>21285958</v>
      </c>
      <c r="B339">
        <v>23873874</v>
      </c>
      <c r="E339">
        <v>11090220</v>
      </c>
      <c r="F339">
        <v>33693781</v>
      </c>
      <c r="G339" t="s">
        <v>9969</v>
      </c>
      <c r="H339" t="s">
        <v>12193</v>
      </c>
      <c r="I339" t="s">
        <v>9978</v>
      </c>
      <c r="J339" t="s">
        <v>12194</v>
      </c>
      <c r="K339" t="s">
        <v>12195</v>
      </c>
      <c r="L339">
        <v>2021</v>
      </c>
      <c r="M339" t="s">
        <v>12196</v>
      </c>
      <c r="N339">
        <v>44266</v>
      </c>
      <c r="O339" t="s">
        <v>12197</v>
      </c>
    </row>
    <row r="340" spans="1:16" x14ac:dyDescent="0.15">
      <c r="A340">
        <v>32912198</v>
      </c>
      <c r="B340">
        <v>31262819</v>
      </c>
      <c r="E340">
        <v>10772249</v>
      </c>
      <c r="F340">
        <v>31903745</v>
      </c>
      <c r="G340" t="s">
        <v>7058</v>
      </c>
      <c r="H340" t="s">
        <v>12198</v>
      </c>
      <c r="I340" t="s">
        <v>7068</v>
      </c>
      <c r="J340" t="s">
        <v>12199</v>
      </c>
      <c r="K340" t="s">
        <v>12200</v>
      </c>
      <c r="L340">
        <v>2020</v>
      </c>
      <c r="M340" t="s">
        <v>11453</v>
      </c>
      <c r="N340">
        <v>43837</v>
      </c>
    </row>
    <row r="341" spans="1:16" x14ac:dyDescent="0.15">
      <c r="A341" t="s">
        <v>74</v>
      </c>
      <c r="B341">
        <v>30521613</v>
      </c>
      <c r="E341">
        <v>1644924</v>
      </c>
      <c r="F341">
        <v>32160132</v>
      </c>
      <c r="G341" t="s">
        <v>12207</v>
      </c>
      <c r="H341" t="s">
        <v>12208</v>
      </c>
      <c r="I341" t="s">
        <v>9579</v>
      </c>
      <c r="J341" t="s">
        <v>12209</v>
      </c>
      <c r="K341" t="s">
        <v>12210</v>
      </c>
      <c r="L341">
        <v>2020</v>
      </c>
      <c r="M341" t="s">
        <v>12211</v>
      </c>
      <c r="N341">
        <v>43902</v>
      </c>
      <c r="O341" t="s">
        <v>12212</v>
      </c>
      <c r="P341" t="s">
        <v>12213</v>
      </c>
    </row>
    <row r="342" spans="1:16" x14ac:dyDescent="0.15">
      <c r="A342">
        <v>25669322</v>
      </c>
      <c r="B342">
        <v>24245560</v>
      </c>
      <c r="E342">
        <v>17823924</v>
      </c>
      <c r="F342">
        <v>32603406</v>
      </c>
      <c r="G342" t="s">
        <v>12214</v>
      </c>
      <c r="H342" t="s">
        <v>12215</v>
      </c>
      <c r="I342" t="s">
        <v>1131</v>
      </c>
      <c r="J342" t="s">
        <v>12216</v>
      </c>
      <c r="K342" t="s">
        <v>12217</v>
      </c>
      <c r="L342">
        <v>2022</v>
      </c>
      <c r="M342" t="s">
        <v>11871</v>
      </c>
      <c r="N342">
        <v>44013</v>
      </c>
      <c r="O342" t="s">
        <v>12218</v>
      </c>
    </row>
    <row r="343" spans="1:16" x14ac:dyDescent="0.15">
      <c r="A343">
        <v>32530449</v>
      </c>
      <c r="B343">
        <v>26098692</v>
      </c>
      <c r="E343">
        <v>17546597</v>
      </c>
      <c r="F343">
        <v>25820722</v>
      </c>
      <c r="G343" t="s">
        <v>12224</v>
      </c>
      <c r="H343" t="s">
        <v>12225</v>
      </c>
      <c r="I343" t="s">
        <v>593</v>
      </c>
      <c r="J343" t="s">
        <v>12226</v>
      </c>
      <c r="K343" t="s">
        <v>12227</v>
      </c>
      <c r="L343">
        <v>2015</v>
      </c>
      <c r="M343" t="s">
        <v>11317</v>
      </c>
      <c r="N343">
        <v>42094</v>
      </c>
    </row>
    <row r="344" spans="1:16" x14ac:dyDescent="0.15">
      <c r="A344">
        <v>28751279</v>
      </c>
      <c r="B344">
        <v>32343702</v>
      </c>
      <c r="E344">
        <v>22306653</v>
      </c>
      <c r="F344">
        <v>32441840</v>
      </c>
      <c r="G344" t="s">
        <v>511</v>
      </c>
      <c r="H344" t="s">
        <v>12228</v>
      </c>
      <c r="I344" t="s">
        <v>524</v>
      </c>
      <c r="J344" t="s">
        <v>12229</v>
      </c>
      <c r="K344" t="s">
        <v>12230</v>
      </c>
      <c r="L344">
        <v>2020</v>
      </c>
      <c r="M344" t="s">
        <v>11962</v>
      </c>
      <c r="N344">
        <v>43974</v>
      </c>
    </row>
    <row r="345" spans="1:16" x14ac:dyDescent="0.15">
      <c r="A345">
        <v>33753167</v>
      </c>
      <c r="B345">
        <v>26554030</v>
      </c>
      <c r="E345">
        <v>2689174</v>
      </c>
      <c r="F345">
        <v>32912198</v>
      </c>
      <c r="G345" t="s">
        <v>4739</v>
      </c>
      <c r="H345" t="s">
        <v>12231</v>
      </c>
      <c r="I345" t="s">
        <v>4749</v>
      </c>
      <c r="J345" t="s">
        <v>12232</v>
      </c>
      <c r="K345" t="s">
        <v>12233</v>
      </c>
      <c r="L345">
        <v>2020</v>
      </c>
      <c r="M345" t="s">
        <v>12154</v>
      </c>
      <c r="N345">
        <v>44085</v>
      </c>
      <c r="O345" t="s">
        <v>12234</v>
      </c>
    </row>
    <row r="346" spans="1:16" x14ac:dyDescent="0.15">
      <c r="A346">
        <v>30703330</v>
      </c>
      <c r="B346">
        <v>19940036</v>
      </c>
      <c r="E346">
        <v>9873029</v>
      </c>
      <c r="F346">
        <v>32530449</v>
      </c>
      <c r="G346" t="s">
        <v>4800</v>
      </c>
      <c r="H346" t="s">
        <v>12235</v>
      </c>
      <c r="I346" t="s">
        <v>4812</v>
      </c>
      <c r="J346" t="s">
        <v>12236</v>
      </c>
      <c r="K346" t="s">
        <v>12237</v>
      </c>
      <c r="L346">
        <v>2020</v>
      </c>
      <c r="M346" t="s">
        <v>12238</v>
      </c>
      <c r="N346">
        <v>43995</v>
      </c>
    </row>
    <row r="347" spans="1:16" x14ac:dyDescent="0.15">
      <c r="A347" t="s">
        <v>74</v>
      </c>
      <c r="B347">
        <v>25339697</v>
      </c>
      <c r="E347">
        <v>12509439</v>
      </c>
      <c r="F347">
        <v>31182116</v>
      </c>
      <c r="G347" t="s">
        <v>12239</v>
      </c>
      <c r="H347" t="s">
        <v>12240</v>
      </c>
      <c r="I347" t="s">
        <v>6181</v>
      </c>
      <c r="J347" t="s">
        <v>12241</v>
      </c>
      <c r="K347" t="s">
        <v>12242</v>
      </c>
      <c r="L347">
        <v>2019</v>
      </c>
      <c r="M347" t="s">
        <v>12243</v>
      </c>
      <c r="N347">
        <v>43628</v>
      </c>
      <c r="O347" t="s">
        <v>12244</v>
      </c>
    </row>
    <row r="348" spans="1:16" x14ac:dyDescent="0.15">
      <c r="A348">
        <v>35042294</v>
      </c>
      <c r="B348">
        <v>23483985</v>
      </c>
      <c r="E348">
        <v>2154094</v>
      </c>
      <c r="F348">
        <v>32232575</v>
      </c>
      <c r="G348" t="s">
        <v>4446</v>
      </c>
      <c r="H348" t="s">
        <v>12269</v>
      </c>
      <c r="I348" t="s">
        <v>4458</v>
      </c>
      <c r="J348" t="s">
        <v>12270</v>
      </c>
      <c r="K348" t="s">
        <v>12271</v>
      </c>
      <c r="L348">
        <v>2020</v>
      </c>
      <c r="M348" t="s">
        <v>12272</v>
      </c>
      <c r="N348">
        <v>43923</v>
      </c>
    </row>
    <row r="349" spans="1:16" x14ac:dyDescent="0.15">
      <c r="A349">
        <v>28372464</v>
      </c>
      <c r="B349">
        <v>24259003</v>
      </c>
      <c r="E349">
        <v>8034739</v>
      </c>
      <c r="F349">
        <v>25772109</v>
      </c>
      <c r="G349" t="s">
        <v>3734</v>
      </c>
      <c r="H349" t="s">
        <v>12273</v>
      </c>
      <c r="I349" t="s">
        <v>3746</v>
      </c>
      <c r="J349" t="s">
        <v>12274</v>
      </c>
      <c r="K349" t="s">
        <v>12275</v>
      </c>
      <c r="L349">
        <v>2015</v>
      </c>
      <c r="M349" t="s">
        <v>12276</v>
      </c>
      <c r="N349">
        <v>42080</v>
      </c>
    </row>
    <row r="350" spans="1:16" x14ac:dyDescent="0.15">
      <c r="A350" t="s">
        <v>74</v>
      </c>
      <c r="B350">
        <v>17448744</v>
      </c>
      <c r="E350">
        <v>16553833</v>
      </c>
      <c r="F350">
        <v>33169756</v>
      </c>
      <c r="G350" t="s">
        <v>5687</v>
      </c>
      <c r="H350" t="s">
        <v>12283</v>
      </c>
      <c r="I350" t="s">
        <v>5697</v>
      </c>
      <c r="J350" t="s">
        <v>12284</v>
      </c>
      <c r="K350" t="s">
        <v>12285</v>
      </c>
      <c r="L350">
        <v>2020</v>
      </c>
      <c r="M350" t="s">
        <v>11702</v>
      </c>
      <c r="N350">
        <v>44145</v>
      </c>
    </row>
    <row r="351" spans="1:16" x14ac:dyDescent="0.15">
      <c r="A351">
        <v>26272609</v>
      </c>
      <c r="B351">
        <v>30971101</v>
      </c>
      <c r="E351">
        <v>21677667</v>
      </c>
      <c r="F351">
        <v>26126838</v>
      </c>
      <c r="G351" t="s">
        <v>12286</v>
      </c>
      <c r="H351" t="s">
        <v>12287</v>
      </c>
      <c r="I351" t="s">
        <v>237</v>
      </c>
      <c r="J351" t="s">
        <v>12288</v>
      </c>
      <c r="K351" t="s">
        <v>12289</v>
      </c>
      <c r="L351">
        <v>2015</v>
      </c>
      <c r="M351" t="s">
        <v>12290</v>
      </c>
      <c r="N351">
        <v>42187</v>
      </c>
    </row>
    <row r="352" spans="1:16" x14ac:dyDescent="0.15">
      <c r="A352">
        <v>27608715</v>
      </c>
      <c r="B352">
        <v>22074924</v>
      </c>
      <c r="E352">
        <v>9165051</v>
      </c>
      <c r="F352">
        <v>25111183</v>
      </c>
      <c r="G352" t="s">
        <v>12297</v>
      </c>
      <c r="H352" t="s">
        <v>12298</v>
      </c>
      <c r="I352" t="s">
        <v>438</v>
      </c>
      <c r="J352" t="s">
        <v>12299</v>
      </c>
      <c r="K352" t="s">
        <v>12300</v>
      </c>
      <c r="L352">
        <v>2014</v>
      </c>
      <c r="M352" t="s">
        <v>11419</v>
      </c>
      <c r="N352">
        <v>41863</v>
      </c>
      <c r="O352" t="s">
        <v>12301</v>
      </c>
    </row>
    <row r="353" spans="1:15" x14ac:dyDescent="0.15">
      <c r="A353">
        <v>30102952</v>
      </c>
      <c r="B353">
        <v>35658009</v>
      </c>
      <c r="E353">
        <v>11207362</v>
      </c>
      <c r="F353">
        <v>31732191</v>
      </c>
      <c r="G353" t="s">
        <v>10778</v>
      </c>
      <c r="H353" t="s">
        <v>12302</v>
      </c>
      <c r="I353" t="s">
        <v>10791</v>
      </c>
      <c r="J353" t="s">
        <v>12303</v>
      </c>
      <c r="K353" t="s">
        <v>12304</v>
      </c>
      <c r="L353">
        <v>2020</v>
      </c>
      <c r="M353" t="s">
        <v>12305</v>
      </c>
      <c r="N353">
        <v>43786</v>
      </c>
    </row>
    <row r="354" spans="1:15" x14ac:dyDescent="0.15">
      <c r="A354">
        <v>30916594</v>
      </c>
      <c r="B354">
        <v>29357442</v>
      </c>
      <c r="E354">
        <v>12814647</v>
      </c>
      <c r="F354">
        <v>28401635</v>
      </c>
      <c r="G354" t="s">
        <v>6523</v>
      </c>
      <c r="H354" t="s">
        <v>12306</v>
      </c>
      <c r="I354" t="s">
        <v>6531</v>
      </c>
      <c r="J354" t="s">
        <v>12307</v>
      </c>
      <c r="K354" t="s">
        <v>12308</v>
      </c>
      <c r="L354">
        <v>2017</v>
      </c>
      <c r="M354" t="s">
        <v>12309</v>
      </c>
      <c r="N354">
        <v>42838</v>
      </c>
    </row>
    <row r="355" spans="1:15" x14ac:dyDescent="0.15">
      <c r="A355">
        <v>32573237</v>
      </c>
      <c r="B355">
        <v>31043377</v>
      </c>
      <c r="E355">
        <v>9446579</v>
      </c>
      <c r="F355">
        <v>25988257</v>
      </c>
      <c r="G355" t="s">
        <v>2791</v>
      </c>
      <c r="H355" t="s">
        <v>12316</v>
      </c>
      <c r="I355" t="s">
        <v>2800</v>
      </c>
      <c r="J355" t="s">
        <v>12317</v>
      </c>
      <c r="K355" t="s">
        <v>12318</v>
      </c>
      <c r="L355">
        <v>2015</v>
      </c>
      <c r="M355" t="s">
        <v>11466</v>
      </c>
      <c r="N355">
        <v>42144</v>
      </c>
      <c r="O355" t="s">
        <v>12319</v>
      </c>
    </row>
    <row r="356" spans="1:15" x14ac:dyDescent="0.15">
      <c r="A356">
        <v>35721867</v>
      </c>
      <c r="B356">
        <v>28592251</v>
      </c>
      <c r="F356">
        <v>26846451</v>
      </c>
      <c r="G356" t="s">
        <v>4085</v>
      </c>
      <c r="H356" t="s">
        <v>12331</v>
      </c>
      <c r="I356" t="s">
        <v>4098</v>
      </c>
      <c r="J356" t="s">
        <v>12332</v>
      </c>
      <c r="K356" t="s">
        <v>12333</v>
      </c>
      <c r="L356">
        <v>2016</v>
      </c>
      <c r="M356" t="s">
        <v>12179</v>
      </c>
      <c r="N356">
        <v>42406</v>
      </c>
      <c r="O356" t="s">
        <v>12334</v>
      </c>
    </row>
    <row r="357" spans="1:15" x14ac:dyDescent="0.15">
      <c r="A357">
        <v>34830979</v>
      </c>
      <c r="B357">
        <v>31285775</v>
      </c>
      <c r="F357">
        <v>29084979</v>
      </c>
      <c r="G357" t="s">
        <v>8875</v>
      </c>
      <c r="H357" t="s">
        <v>12335</v>
      </c>
      <c r="I357" t="s">
        <v>8884</v>
      </c>
      <c r="J357" t="s">
        <v>12336</v>
      </c>
      <c r="K357" t="s">
        <v>12337</v>
      </c>
      <c r="L357">
        <v>2017</v>
      </c>
      <c r="M357" t="s">
        <v>11466</v>
      </c>
      <c r="N357">
        <v>43040</v>
      </c>
      <c r="O357" t="s">
        <v>12338</v>
      </c>
    </row>
    <row r="358" spans="1:15" x14ac:dyDescent="0.15">
      <c r="A358">
        <v>27579604</v>
      </c>
      <c r="B358">
        <v>7077301</v>
      </c>
      <c r="F358">
        <v>28433888</v>
      </c>
      <c r="G358" t="s">
        <v>12339</v>
      </c>
      <c r="H358" t="s">
        <v>12340</v>
      </c>
      <c r="I358" t="s">
        <v>1730</v>
      </c>
      <c r="J358" t="s">
        <v>12341</v>
      </c>
      <c r="K358" t="s">
        <v>12342</v>
      </c>
      <c r="L358">
        <v>2017</v>
      </c>
      <c r="M358" t="s">
        <v>12343</v>
      </c>
      <c r="N358">
        <v>42849</v>
      </c>
    </row>
    <row r="359" spans="1:15" x14ac:dyDescent="0.15">
      <c r="A359">
        <v>33753455</v>
      </c>
      <c r="B359">
        <v>21248205</v>
      </c>
      <c r="F359">
        <v>24834468</v>
      </c>
      <c r="G359" t="s">
        <v>3587</v>
      </c>
      <c r="H359" t="s">
        <v>12359</v>
      </c>
      <c r="I359" t="s">
        <v>3600</v>
      </c>
      <c r="J359" t="s">
        <v>12360</v>
      </c>
      <c r="K359" t="s">
        <v>12361</v>
      </c>
      <c r="L359">
        <v>2014</v>
      </c>
      <c r="M359" t="s">
        <v>12362</v>
      </c>
      <c r="N359">
        <v>41776</v>
      </c>
    </row>
    <row r="360" spans="1:15" x14ac:dyDescent="0.15">
      <c r="A360">
        <v>29674035</v>
      </c>
      <c r="B360">
        <v>22504169</v>
      </c>
      <c r="F360">
        <v>35159179</v>
      </c>
      <c r="G360" t="s">
        <v>2093</v>
      </c>
      <c r="H360" t="s">
        <v>12363</v>
      </c>
      <c r="I360" t="s">
        <v>2104</v>
      </c>
      <c r="J360" t="s">
        <v>12364</v>
      </c>
      <c r="K360" t="s">
        <v>12365</v>
      </c>
      <c r="L360">
        <v>2022</v>
      </c>
      <c r="M360" t="s">
        <v>11553</v>
      </c>
      <c r="N360">
        <v>44607</v>
      </c>
      <c r="O360" t="s">
        <v>12366</v>
      </c>
    </row>
    <row r="361" spans="1:15" x14ac:dyDescent="0.15">
      <c r="A361" t="s">
        <v>74</v>
      </c>
      <c r="B361">
        <v>18802920</v>
      </c>
      <c r="F361">
        <v>33973465</v>
      </c>
      <c r="G361" t="s">
        <v>5579</v>
      </c>
      <c r="H361" t="s">
        <v>12372</v>
      </c>
      <c r="I361" t="s">
        <v>5588</v>
      </c>
      <c r="J361" t="s">
        <v>12373</v>
      </c>
      <c r="K361" t="s">
        <v>12130</v>
      </c>
      <c r="L361">
        <v>2021</v>
      </c>
      <c r="M361" t="s">
        <v>11453</v>
      </c>
      <c r="N361">
        <v>44327</v>
      </c>
    </row>
    <row r="362" spans="1:15" x14ac:dyDescent="0.15">
      <c r="A362">
        <v>27924585</v>
      </c>
      <c r="B362">
        <v>12885772</v>
      </c>
      <c r="F362">
        <v>26959653</v>
      </c>
      <c r="G362" t="s">
        <v>7823</v>
      </c>
      <c r="H362" t="s">
        <v>12387</v>
      </c>
      <c r="I362" t="s">
        <v>7835</v>
      </c>
      <c r="J362" t="s">
        <v>12388</v>
      </c>
      <c r="K362" t="s">
        <v>12389</v>
      </c>
      <c r="L362">
        <v>2016</v>
      </c>
      <c r="M362" t="s">
        <v>12390</v>
      </c>
      <c r="N362">
        <v>42439</v>
      </c>
    </row>
    <row r="363" spans="1:15" x14ac:dyDescent="0.15">
      <c r="A363">
        <v>25472905</v>
      </c>
      <c r="B363">
        <v>23315742</v>
      </c>
      <c r="F363">
        <v>31506601</v>
      </c>
      <c r="G363" t="s">
        <v>3477</v>
      </c>
      <c r="H363" t="s">
        <v>12391</v>
      </c>
      <c r="I363" t="s">
        <v>3484</v>
      </c>
      <c r="J363" t="s">
        <v>12392</v>
      </c>
      <c r="K363" t="s">
        <v>12393</v>
      </c>
      <c r="L363">
        <v>2019</v>
      </c>
      <c r="M363" t="s">
        <v>11466</v>
      </c>
      <c r="N363">
        <v>43720</v>
      </c>
      <c r="O363" t="s">
        <v>12394</v>
      </c>
    </row>
    <row r="364" spans="1:15" x14ac:dyDescent="0.15">
      <c r="A364">
        <v>25798073</v>
      </c>
      <c r="B364">
        <v>15136153</v>
      </c>
      <c r="F364">
        <v>33867829</v>
      </c>
      <c r="G364" t="s">
        <v>12395</v>
      </c>
      <c r="H364" t="s">
        <v>12396</v>
      </c>
      <c r="I364" t="s">
        <v>9626</v>
      </c>
      <c r="J364" t="s">
        <v>12397</v>
      </c>
      <c r="K364" t="s">
        <v>11392</v>
      </c>
      <c r="L364">
        <v>2021</v>
      </c>
      <c r="M364" t="s">
        <v>11387</v>
      </c>
      <c r="N364">
        <v>44305</v>
      </c>
      <c r="O364" t="s">
        <v>12398</v>
      </c>
    </row>
    <row r="365" spans="1:15" x14ac:dyDescent="0.15">
      <c r="A365">
        <v>23590857</v>
      </c>
      <c r="B365">
        <v>20964628</v>
      </c>
      <c r="F365">
        <v>26272609</v>
      </c>
      <c r="G365" t="s">
        <v>12399</v>
      </c>
      <c r="H365" t="s">
        <v>12400</v>
      </c>
      <c r="I365" t="s">
        <v>5071</v>
      </c>
      <c r="J365" t="s">
        <v>12401</v>
      </c>
      <c r="K365" t="s">
        <v>12402</v>
      </c>
      <c r="L365">
        <v>2015</v>
      </c>
      <c r="M365" t="s">
        <v>11800</v>
      </c>
      <c r="N365">
        <v>42231</v>
      </c>
      <c r="O365" t="s">
        <v>12403</v>
      </c>
    </row>
    <row r="366" spans="1:15" x14ac:dyDescent="0.15">
      <c r="A366">
        <v>26681674</v>
      </c>
      <c r="B366">
        <v>1418007</v>
      </c>
      <c r="F366">
        <v>29330365</v>
      </c>
      <c r="G366" t="s">
        <v>3768</v>
      </c>
      <c r="H366" t="s">
        <v>12404</v>
      </c>
      <c r="I366" t="s">
        <v>3777</v>
      </c>
      <c r="J366" t="s">
        <v>12405</v>
      </c>
      <c r="K366" t="s">
        <v>12406</v>
      </c>
      <c r="L366">
        <v>2018</v>
      </c>
      <c r="M366" t="s">
        <v>11251</v>
      </c>
      <c r="N366">
        <v>43114</v>
      </c>
      <c r="O366" t="s">
        <v>12407</v>
      </c>
    </row>
    <row r="367" spans="1:15" x14ac:dyDescent="0.15">
      <c r="A367">
        <v>35005084</v>
      </c>
      <c r="B367">
        <v>22143786</v>
      </c>
      <c r="F367">
        <v>15256559</v>
      </c>
      <c r="G367" t="s">
        <v>5969</v>
      </c>
      <c r="H367" t="s">
        <v>12408</v>
      </c>
      <c r="I367" t="s">
        <v>5979</v>
      </c>
      <c r="J367" t="s">
        <v>12409</v>
      </c>
      <c r="K367" t="s">
        <v>12410</v>
      </c>
      <c r="L367">
        <v>2004</v>
      </c>
      <c r="M367" t="s">
        <v>12411</v>
      </c>
      <c r="N367">
        <v>38185</v>
      </c>
    </row>
    <row r="368" spans="1:15" x14ac:dyDescent="0.15">
      <c r="A368">
        <v>24146982</v>
      </c>
      <c r="B368">
        <v>22701748</v>
      </c>
      <c r="F368">
        <v>32153563</v>
      </c>
      <c r="G368" t="s">
        <v>10869</v>
      </c>
      <c r="H368" t="s">
        <v>12412</v>
      </c>
      <c r="I368" t="s">
        <v>10878</v>
      </c>
      <c r="J368" t="s">
        <v>12413</v>
      </c>
      <c r="K368" t="s">
        <v>12414</v>
      </c>
      <c r="L368">
        <v>2020</v>
      </c>
      <c r="M368" t="s">
        <v>11350</v>
      </c>
      <c r="N368">
        <v>43901</v>
      </c>
      <c r="O368" t="s">
        <v>12415</v>
      </c>
    </row>
    <row r="369" spans="1:16" x14ac:dyDescent="0.15">
      <c r="A369">
        <v>29110768</v>
      </c>
      <c r="B369">
        <v>35323012</v>
      </c>
      <c r="F369">
        <v>31478613</v>
      </c>
      <c r="G369" t="s">
        <v>3848</v>
      </c>
      <c r="H369" t="s">
        <v>12427</v>
      </c>
      <c r="I369" t="s">
        <v>3859</v>
      </c>
      <c r="J369" t="s">
        <v>12428</v>
      </c>
      <c r="K369" t="s">
        <v>12429</v>
      </c>
      <c r="L369">
        <v>2019</v>
      </c>
      <c r="M369" t="s">
        <v>11927</v>
      </c>
      <c r="N369">
        <v>43712</v>
      </c>
    </row>
    <row r="370" spans="1:16" x14ac:dyDescent="0.15">
      <c r="A370" t="s">
        <v>74</v>
      </c>
      <c r="B370">
        <v>31138886</v>
      </c>
      <c r="F370">
        <v>33844518</v>
      </c>
      <c r="G370" t="s">
        <v>8442</v>
      </c>
      <c r="H370" t="s">
        <v>12430</v>
      </c>
      <c r="I370" t="s">
        <v>8451</v>
      </c>
      <c r="J370" t="s">
        <v>12431</v>
      </c>
      <c r="K370" t="s">
        <v>12432</v>
      </c>
      <c r="L370">
        <v>2021</v>
      </c>
      <c r="M370" t="s">
        <v>11453</v>
      </c>
      <c r="N370">
        <v>44298</v>
      </c>
    </row>
    <row r="371" spans="1:16" x14ac:dyDescent="0.15">
      <c r="A371">
        <v>30139385</v>
      </c>
      <c r="B371">
        <v>24933019</v>
      </c>
      <c r="F371">
        <v>24748612</v>
      </c>
      <c r="G371" t="s">
        <v>12433</v>
      </c>
      <c r="H371" t="s">
        <v>12434</v>
      </c>
      <c r="I371" t="s">
        <v>4706</v>
      </c>
      <c r="J371" t="s">
        <v>12435</v>
      </c>
      <c r="K371" t="s">
        <v>12436</v>
      </c>
      <c r="L371">
        <v>2014</v>
      </c>
      <c r="M371" t="s">
        <v>12437</v>
      </c>
      <c r="N371">
        <v>41751</v>
      </c>
      <c r="O371" t="s">
        <v>12438</v>
      </c>
    </row>
    <row r="372" spans="1:16" x14ac:dyDescent="0.15">
      <c r="A372">
        <v>29550075</v>
      </c>
      <c r="B372">
        <v>22505472</v>
      </c>
      <c r="F372">
        <v>30644724</v>
      </c>
      <c r="G372" t="s">
        <v>2012</v>
      </c>
      <c r="H372" t="s">
        <v>12451</v>
      </c>
      <c r="I372" t="s">
        <v>2025</v>
      </c>
      <c r="J372" t="s">
        <v>12452</v>
      </c>
      <c r="K372" t="s">
        <v>12453</v>
      </c>
      <c r="L372">
        <v>2019</v>
      </c>
      <c r="M372" t="s">
        <v>11453</v>
      </c>
      <c r="N372">
        <v>43481</v>
      </c>
    </row>
    <row r="373" spans="1:16" x14ac:dyDescent="0.15">
      <c r="A373">
        <v>27362801</v>
      </c>
      <c r="B373">
        <v>29648974</v>
      </c>
      <c r="F373">
        <v>20428099</v>
      </c>
      <c r="G373" t="s">
        <v>1297</v>
      </c>
      <c r="H373" t="s">
        <v>12454</v>
      </c>
      <c r="I373" t="s">
        <v>1310</v>
      </c>
      <c r="J373" t="s">
        <v>12455</v>
      </c>
      <c r="K373" t="s">
        <v>12456</v>
      </c>
      <c r="L373">
        <v>2010</v>
      </c>
      <c r="M373" t="s">
        <v>12457</v>
      </c>
      <c r="N373">
        <v>40298</v>
      </c>
      <c r="O373" t="s">
        <v>12458</v>
      </c>
      <c r="P373" t="s">
        <v>12459</v>
      </c>
    </row>
    <row r="374" spans="1:16" x14ac:dyDescent="0.15">
      <c r="A374">
        <v>27770039</v>
      </c>
      <c r="B374">
        <v>10652961</v>
      </c>
      <c r="F374">
        <v>24398677</v>
      </c>
      <c r="G374" t="s">
        <v>12460</v>
      </c>
      <c r="H374" t="s">
        <v>12461</v>
      </c>
      <c r="I374" t="s">
        <v>942</v>
      </c>
      <c r="J374" t="s">
        <v>12462</v>
      </c>
      <c r="K374" t="s">
        <v>12463</v>
      </c>
      <c r="L374">
        <v>2014</v>
      </c>
      <c r="M374" t="s">
        <v>11800</v>
      </c>
      <c r="N374">
        <v>41648</v>
      </c>
      <c r="O374" t="s">
        <v>12464</v>
      </c>
    </row>
    <row r="375" spans="1:16" x14ac:dyDescent="0.15">
      <c r="A375">
        <v>17108190</v>
      </c>
      <c r="B375">
        <v>7961777</v>
      </c>
      <c r="F375">
        <v>21285958</v>
      </c>
      <c r="G375" t="s">
        <v>4727</v>
      </c>
      <c r="H375" t="s">
        <v>12465</v>
      </c>
      <c r="I375" t="s">
        <v>4735</v>
      </c>
      <c r="J375" t="s">
        <v>12466</v>
      </c>
      <c r="K375" t="s">
        <v>12318</v>
      </c>
      <c r="L375">
        <v>2011</v>
      </c>
      <c r="M375" t="s">
        <v>11251</v>
      </c>
      <c r="N375">
        <v>40577</v>
      </c>
      <c r="O375" t="s">
        <v>12467</v>
      </c>
      <c r="P375" t="s">
        <v>12468</v>
      </c>
    </row>
    <row r="376" spans="1:16" x14ac:dyDescent="0.15">
      <c r="A376">
        <v>33169756</v>
      </c>
      <c r="B376">
        <v>35605028</v>
      </c>
      <c r="F376">
        <v>27092489</v>
      </c>
      <c r="G376" t="s">
        <v>7670</v>
      </c>
      <c r="H376" t="s">
        <v>12469</v>
      </c>
      <c r="I376" t="s">
        <v>7680</v>
      </c>
      <c r="J376" t="s">
        <v>12470</v>
      </c>
      <c r="K376" t="s">
        <v>12471</v>
      </c>
      <c r="L376">
        <v>2016</v>
      </c>
      <c r="M376" t="s">
        <v>12472</v>
      </c>
      <c r="N376">
        <v>42480</v>
      </c>
      <c r="O376" t="s">
        <v>12473</v>
      </c>
    </row>
    <row r="377" spans="1:16" x14ac:dyDescent="0.15">
      <c r="A377">
        <v>32738648</v>
      </c>
      <c r="B377">
        <v>30346568</v>
      </c>
      <c r="F377">
        <v>15655551</v>
      </c>
      <c r="G377" t="s">
        <v>4384</v>
      </c>
      <c r="H377" t="s">
        <v>12474</v>
      </c>
      <c r="I377" t="s">
        <v>4396</v>
      </c>
      <c r="J377" t="s">
        <v>12475</v>
      </c>
      <c r="K377" t="s">
        <v>12476</v>
      </c>
      <c r="L377">
        <v>2005</v>
      </c>
      <c r="M377" t="s">
        <v>11179</v>
      </c>
      <c r="N377">
        <v>38371</v>
      </c>
      <c r="O377" t="s">
        <v>12477</v>
      </c>
    </row>
    <row r="378" spans="1:16" x14ac:dyDescent="0.15">
      <c r="A378">
        <v>32895384</v>
      </c>
      <c r="B378">
        <v>19832990</v>
      </c>
      <c r="F378">
        <v>30411781</v>
      </c>
      <c r="G378" t="s">
        <v>6267</v>
      </c>
      <c r="H378" t="s">
        <v>12528</v>
      </c>
      <c r="I378" t="s">
        <v>6278</v>
      </c>
      <c r="J378" t="s">
        <v>12529</v>
      </c>
      <c r="K378" t="s">
        <v>12530</v>
      </c>
      <c r="L378">
        <v>2019</v>
      </c>
      <c r="M378" t="s">
        <v>11856</v>
      </c>
      <c r="N378">
        <v>43414</v>
      </c>
      <c r="O378" t="s">
        <v>12531</v>
      </c>
    </row>
    <row r="379" spans="1:16" x14ac:dyDescent="0.15">
      <c r="A379">
        <v>30551256</v>
      </c>
      <c r="B379">
        <v>24211404</v>
      </c>
      <c r="F379">
        <v>35710947</v>
      </c>
      <c r="G379" t="s">
        <v>9743</v>
      </c>
      <c r="H379" t="s">
        <v>12532</v>
      </c>
      <c r="I379" t="s">
        <v>9753</v>
      </c>
      <c r="J379" t="s">
        <v>12533</v>
      </c>
      <c r="K379" t="s">
        <v>12534</v>
      </c>
      <c r="L379">
        <v>2022</v>
      </c>
      <c r="M379" t="s">
        <v>11979</v>
      </c>
      <c r="N379">
        <v>44729</v>
      </c>
      <c r="O379" t="s">
        <v>12535</v>
      </c>
    </row>
    <row r="380" spans="1:16" x14ac:dyDescent="0.15">
      <c r="A380">
        <v>34837760</v>
      </c>
      <c r="B380">
        <v>23182441</v>
      </c>
      <c r="F380">
        <v>30305607</v>
      </c>
      <c r="G380" t="s">
        <v>12555</v>
      </c>
      <c r="H380" t="s">
        <v>12556</v>
      </c>
      <c r="I380" t="s">
        <v>8753</v>
      </c>
      <c r="J380" t="s">
        <v>12557</v>
      </c>
      <c r="K380" t="s">
        <v>12558</v>
      </c>
      <c r="L380">
        <v>2018</v>
      </c>
      <c r="M380" t="s">
        <v>11220</v>
      </c>
      <c r="N380">
        <v>43385</v>
      </c>
      <c r="O380" t="s">
        <v>12559</v>
      </c>
    </row>
    <row r="381" spans="1:16" x14ac:dyDescent="0.15">
      <c r="A381">
        <v>32902258</v>
      </c>
      <c r="B381">
        <v>31074077</v>
      </c>
      <c r="F381">
        <v>28368488</v>
      </c>
      <c r="G381" t="s">
        <v>7209</v>
      </c>
      <c r="H381" t="s">
        <v>12577</v>
      </c>
      <c r="I381" t="s">
        <v>7220</v>
      </c>
      <c r="J381" t="s">
        <v>12578</v>
      </c>
      <c r="K381" t="s">
        <v>12579</v>
      </c>
      <c r="L381">
        <v>2017</v>
      </c>
      <c r="M381" t="s">
        <v>11871</v>
      </c>
      <c r="N381">
        <v>42829</v>
      </c>
    </row>
    <row r="382" spans="1:16" x14ac:dyDescent="0.15">
      <c r="A382">
        <v>33086079</v>
      </c>
      <c r="B382">
        <v>23284625</v>
      </c>
      <c r="F382">
        <v>28743887</v>
      </c>
      <c r="G382" t="s">
        <v>3236</v>
      </c>
      <c r="H382" t="s">
        <v>12580</v>
      </c>
      <c r="I382" t="s">
        <v>3246</v>
      </c>
      <c r="J382" t="s">
        <v>12581</v>
      </c>
      <c r="K382" t="s">
        <v>12582</v>
      </c>
      <c r="L382">
        <v>2017</v>
      </c>
      <c r="M382" t="s">
        <v>11466</v>
      </c>
      <c r="N382">
        <v>42943</v>
      </c>
      <c r="O382" t="s">
        <v>12583</v>
      </c>
    </row>
    <row r="383" spans="1:16" x14ac:dyDescent="0.15">
      <c r="A383">
        <v>32229189</v>
      </c>
      <c r="B383">
        <v>31150422</v>
      </c>
      <c r="F383">
        <v>34698812</v>
      </c>
      <c r="G383" t="s">
        <v>7480</v>
      </c>
      <c r="H383" t="s">
        <v>12612</v>
      </c>
      <c r="I383" t="s">
        <v>7492</v>
      </c>
      <c r="J383" t="s">
        <v>12613</v>
      </c>
      <c r="K383" t="s">
        <v>12614</v>
      </c>
      <c r="L383">
        <v>2022</v>
      </c>
      <c r="M383" t="s">
        <v>12615</v>
      </c>
      <c r="N383">
        <v>44495</v>
      </c>
    </row>
    <row r="384" spans="1:16" x14ac:dyDescent="0.15">
      <c r="A384">
        <v>26603257</v>
      </c>
      <c r="B384">
        <v>34907783</v>
      </c>
      <c r="F384">
        <v>25650727</v>
      </c>
      <c r="G384" t="s">
        <v>7468</v>
      </c>
      <c r="H384" t="s">
        <v>12616</v>
      </c>
      <c r="I384" t="s">
        <v>7296</v>
      </c>
      <c r="J384" t="s">
        <v>12617</v>
      </c>
      <c r="K384" t="s">
        <v>12618</v>
      </c>
      <c r="L384">
        <v>2015</v>
      </c>
      <c r="M384" t="s">
        <v>11975</v>
      </c>
      <c r="N384">
        <v>42040</v>
      </c>
      <c r="O384" t="s">
        <v>12619</v>
      </c>
    </row>
    <row r="385" spans="1:15" x14ac:dyDescent="0.15">
      <c r="A385">
        <v>28592925</v>
      </c>
      <c r="B385">
        <v>20329788</v>
      </c>
      <c r="F385">
        <v>24164173</v>
      </c>
      <c r="G385" t="s">
        <v>8729</v>
      </c>
      <c r="H385" t="s">
        <v>12626</v>
      </c>
      <c r="I385" t="s">
        <v>8740</v>
      </c>
      <c r="J385" t="s">
        <v>12627</v>
      </c>
      <c r="K385" t="s">
        <v>11834</v>
      </c>
      <c r="L385">
        <v>2014</v>
      </c>
      <c r="M385" t="s">
        <v>12628</v>
      </c>
      <c r="N385">
        <v>41577</v>
      </c>
    </row>
    <row r="386" spans="1:15" x14ac:dyDescent="0.15">
      <c r="A386">
        <v>34575975</v>
      </c>
      <c r="B386">
        <v>7945469</v>
      </c>
      <c r="F386">
        <v>30102952</v>
      </c>
      <c r="G386" t="s">
        <v>5107</v>
      </c>
      <c r="H386" t="s">
        <v>12672</v>
      </c>
      <c r="I386" t="s">
        <v>5120</v>
      </c>
      <c r="J386" t="s">
        <v>12673</v>
      </c>
      <c r="K386" t="s">
        <v>12674</v>
      </c>
      <c r="L386">
        <v>2018</v>
      </c>
      <c r="M386" t="s">
        <v>11361</v>
      </c>
      <c r="N386">
        <v>43326</v>
      </c>
    </row>
    <row r="387" spans="1:15" x14ac:dyDescent="0.15">
      <c r="A387">
        <v>32240782</v>
      </c>
      <c r="B387">
        <v>15031288</v>
      </c>
      <c r="F387">
        <v>35094679</v>
      </c>
      <c r="G387" t="s">
        <v>6154</v>
      </c>
      <c r="H387" t="s">
        <v>12688</v>
      </c>
      <c r="I387" t="s">
        <v>6165</v>
      </c>
      <c r="J387" t="s">
        <v>12689</v>
      </c>
      <c r="K387" t="s">
        <v>12690</v>
      </c>
      <c r="L387">
        <v>2022</v>
      </c>
      <c r="M387" t="s">
        <v>12691</v>
      </c>
      <c r="N387">
        <v>44592</v>
      </c>
      <c r="O387" t="s">
        <v>12692</v>
      </c>
    </row>
    <row r="388" spans="1:15" x14ac:dyDescent="0.15">
      <c r="A388">
        <v>31731505</v>
      </c>
      <c r="B388">
        <v>28392234</v>
      </c>
      <c r="F388">
        <v>35159325</v>
      </c>
      <c r="G388" t="s">
        <v>8157</v>
      </c>
      <c r="H388" t="s">
        <v>12693</v>
      </c>
      <c r="I388" t="s">
        <v>8167</v>
      </c>
      <c r="J388" t="s">
        <v>12694</v>
      </c>
      <c r="K388" t="s">
        <v>12695</v>
      </c>
      <c r="L388">
        <v>2022</v>
      </c>
      <c r="M388" t="s">
        <v>11553</v>
      </c>
      <c r="N388">
        <v>44607</v>
      </c>
      <c r="O388" t="s">
        <v>12696</v>
      </c>
    </row>
    <row r="389" spans="1:15" x14ac:dyDescent="0.15">
      <c r="A389">
        <v>28154880</v>
      </c>
      <c r="B389">
        <v>23696541</v>
      </c>
      <c r="F389">
        <v>27071670</v>
      </c>
      <c r="G389" t="s">
        <v>7698</v>
      </c>
      <c r="H389" t="s">
        <v>12703</v>
      </c>
      <c r="I389" t="s">
        <v>7712</v>
      </c>
      <c r="J389" t="s">
        <v>12704</v>
      </c>
      <c r="K389" t="s">
        <v>12705</v>
      </c>
      <c r="L389">
        <v>2016</v>
      </c>
      <c r="M389" t="s">
        <v>12110</v>
      </c>
      <c r="N389">
        <v>42474</v>
      </c>
      <c r="O389" t="s">
        <v>12706</v>
      </c>
    </row>
    <row r="390" spans="1:15" x14ac:dyDescent="0.15">
      <c r="A390">
        <v>15256559</v>
      </c>
      <c r="B390">
        <v>16583463</v>
      </c>
      <c r="F390">
        <v>35301052</v>
      </c>
      <c r="G390" t="s">
        <v>1412</v>
      </c>
      <c r="H390" t="s">
        <v>12707</v>
      </c>
      <c r="I390" t="s">
        <v>1423</v>
      </c>
      <c r="J390" t="s">
        <v>12708</v>
      </c>
      <c r="K390" t="s">
        <v>12709</v>
      </c>
      <c r="L390">
        <v>2022</v>
      </c>
      <c r="M390" t="s">
        <v>12710</v>
      </c>
      <c r="N390">
        <v>44638</v>
      </c>
    </row>
    <row r="391" spans="1:15" x14ac:dyDescent="0.15">
      <c r="A391">
        <v>29655637</v>
      </c>
      <c r="B391">
        <v>33734019</v>
      </c>
      <c r="F391">
        <v>30206166</v>
      </c>
      <c r="G391" t="s">
        <v>12718</v>
      </c>
      <c r="H391" t="s">
        <v>12719</v>
      </c>
      <c r="I391" t="s">
        <v>3515</v>
      </c>
      <c r="J391" t="s">
        <v>12720</v>
      </c>
      <c r="K391" t="s">
        <v>12721</v>
      </c>
      <c r="L391">
        <v>2018</v>
      </c>
      <c r="M391" t="s">
        <v>12722</v>
      </c>
      <c r="N391">
        <v>43356</v>
      </c>
      <c r="O391" t="s">
        <v>12723</v>
      </c>
    </row>
    <row r="392" spans="1:15" x14ac:dyDescent="0.15">
      <c r="A392">
        <v>32978452</v>
      </c>
      <c r="B392">
        <v>20631136</v>
      </c>
      <c r="F392">
        <v>25678142</v>
      </c>
      <c r="G392" t="s">
        <v>4898</v>
      </c>
      <c r="H392" t="s">
        <v>12729</v>
      </c>
      <c r="I392" t="s">
        <v>4910</v>
      </c>
      <c r="J392" t="s">
        <v>12730</v>
      </c>
      <c r="K392" t="s">
        <v>12731</v>
      </c>
      <c r="L392">
        <v>2015</v>
      </c>
      <c r="M392" t="s">
        <v>12732</v>
      </c>
      <c r="N392">
        <v>42049</v>
      </c>
    </row>
    <row r="393" spans="1:15" x14ac:dyDescent="0.15">
      <c r="A393">
        <v>32315358</v>
      </c>
      <c r="B393">
        <v>3007532</v>
      </c>
      <c r="F393">
        <v>32600030</v>
      </c>
      <c r="G393" t="s">
        <v>7105</v>
      </c>
      <c r="H393" t="s">
        <v>12733</v>
      </c>
      <c r="I393" t="s">
        <v>7114</v>
      </c>
      <c r="J393" t="s">
        <v>12734</v>
      </c>
      <c r="K393" t="s">
        <v>12735</v>
      </c>
      <c r="L393">
        <v>2020</v>
      </c>
      <c r="M393" t="s">
        <v>11453</v>
      </c>
      <c r="N393">
        <v>44013</v>
      </c>
    </row>
    <row r="394" spans="1:15" x14ac:dyDescent="0.15">
      <c r="A394">
        <v>34080172</v>
      </c>
      <c r="B394">
        <v>35605011</v>
      </c>
      <c r="F394">
        <v>33304477</v>
      </c>
      <c r="G394" t="s">
        <v>2128</v>
      </c>
      <c r="H394" t="s">
        <v>12736</v>
      </c>
      <c r="I394" t="s">
        <v>2137</v>
      </c>
      <c r="J394" t="s">
        <v>12737</v>
      </c>
      <c r="K394" t="s">
        <v>12738</v>
      </c>
      <c r="L394">
        <v>2020</v>
      </c>
      <c r="M394" t="s">
        <v>11525</v>
      </c>
      <c r="N394">
        <v>44176</v>
      </c>
      <c r="O394" t="s">
        <v>12739</v>
      </c>
    </row>
    <row r="395" spans="1:15" x14ac:dyDescent="0.15">
      <c r="A395" t="s">
        <v>74</v>
      </c>
      <c r="B395">
        <v>22723882</v>
      </c>
      <c r="F395">
        <v>29162835</v>
      </c>
      <c r="G395" t="s">
        <v>4174</v>
      </c>
      <c r="H395" t="s">
        <v>12746</v>
      </c>
      <c r="I395" t="s">
        <v>4183</v>
      </c>
      <c r="J395" t="s">
        <v>12747</v>
      </c>
      <c r="K395" t="s">
        <v>12748</v>
      </c>
      <c r="L395">
        <v>2017</v>
      </c>
      <c r="M395" t="s">
        <v>11251</v>
      </c>
      <c r="N395">
        <v>43062</v>
      </c>
      <c r="O395" t="s">
        <v>12749</v>
      </c>
    </row>
    <row r="396" spans="1:15" x14ac:dyDescent="0.15">
      <c r="A396" t="s">
        <v>74</v>
      </c>
      <c r="B396">
        <v>22238051</v>
      </c>
      <c r="F396">
        <v>26150337</v>
      </c>
      <c r="G396" t="s">
        <v>2169</v>
      </c>
      <c r="H396" t="s">
        <v>12773</v>
      </c>
      <c r="I396" t="s">
        <v>2182</v>
      </c>
      <c r="J396" t="s">
        <v>12774</v>
      </c>
      <c r="K396" t="s">
        <v>12775</v>
      </c>
      <c r="L396">
        <v>2015</v>
      </c>
      <c r="M396" t="s">
        <v>12776</v>
      </c>
      <c r="N396">
        <v>42193</v>
      </c>
    </row>
    <row r="397" spans="1:15" x14ac:dyDescent="0.15">
      <c r="A397">
        <v>30023529</v>
      </c>
      <c r="B397">
        <v>35200555</v>
      </c>
      <c r="F397">
        <v>25713383</v>
      </c>
      <c r="G397" t="s">
        <v>598</v>
      </c>
      <c r="H397" t="s">
        <v>12785</v>
      </c>
      <c r="I397" t="s">
        <v>613</v>
      </c>
      <c r="J397" t="s">
        <v>12786</v>
      </c>
      <c r="K397" t="s">
        <v>12787</v>
      </c>
      <c r="L397">
        <v>2015</v>
      </c>
      <c r="M397" t="s">
        <v>11193</v>
      </c>
      <c r="N397">
        <v>42061</v>
      </c>
      <c r="O397" t="s">
        <v>12788</v>
      </c>
    </row>
    <row r="398" spans="1:15" x14ac:dyDescent="0.15">
      <c r="A398">
        <v>29216356</v>
      </c>
      <c r="B398">
        <v>9668172</v>
      </c>
      <c r="F398">
        <v>26172304</v>
      </c>
      <c r="G398" t="s">
        <v>4306</v>
      </c>
      <c r="H398" t="s">
        <v>12794</v>
      </c>
      <c r="I398" t="s">
        <v>4317</v>
      </c>
      <c r="J398" t="s">
        <v>12795</v>
      </c>
      <c r="K398" t="s">
        <v>12796</v>
      </c>
      <c r="L398">
        <v>2015</v>
      </c>
      <c r="M398" t="s">
        <v>11519</v>
      </c>
      <c r="N398">
        <v>42200</v>
      </c>
      <c r="O398" t="s">
        <v>12797</v>
      </c>
    </row>
    <row r="399" spans="1:15" x14ac:dyDescent="0.15">
      <c r="A399">
        <v>28470712</v>
      </c>
      <c r="B399">
        <v>28844893</v>
      </c>
      <c r="F399">
        <v>14963039</v>
      </c>
      <c r="G399" t="s">
        <v>6713</v>
      </c>
      <c r="H399" t="s">
        <v>12802</v>
      </c>
      <c r="I399" t="s">
        <v>6722</v>
      </c>
      <c r="J399" t="s">
        <v>12803</v>
      </c>
      <c r="K399" t="s">
        <v>12804</v>
      </c>
      <c r="L399">
        <v>2004</v>
      </c>
      <c r="M399" t="s">
        <v>11800</v>
      </c>
      <c r="N399">
        <v>38031</v>
      </c>
    </row>
    <row r="400" spans="1:15" x14ac:dyDescent="0.15">
      <c r="A400">
        <v>32299821</v>
      </c>
      <c r="B400">
        <v>26246178</v>
      </c>
      <c r="F400">
        <v>29434260</v>
      </c>
      <c r="G400" t="s">
        <v>9873</v>
      </c>
      <c r="H400" t="s">
        <v>12811</v>
      </c>
      <c r="I400" t="s">
        <v>9880</v>
      </c>
      <c r="J400" t="s">
        <v>12812</v>
      </c>
      <c r="K400" t="s">
        <v>12813</v>
      </c>
      <c r="L400">
        <v>2018</v>
      </c>
      <c r="M400" t="s">
        <v>11466</v>
      </c>
      <c r="N400">
        <v>43145</v>
      </c>
      <c r="O400" t="s">
        <v>12814</v>
      </c>
    </row>
    <row r="401" spans="1:16" x14ac:dyDescent="0.15">
      <c r="A401">
        <v>32544093</v>
      </c>
      <c r="B401">
        <v>16461938</v>
      </c>
      <c r="F401">
        <v>34906563</v>
      </c>
      <c r="G401" t="s">
        <v>3033</v>
      </c>
      <c r="H401" t="s">
        <v>12820</v>
      </c>
      <c r="I401" t="s">
        <v>3044</v>
      </c>
      <c r="J401" t="s">
        <v>12821</v>
      </c>
      <c r="K401" t="s">
        <v>12822</v>
      </c>
      <c r="L401">
        <v>2022</v>
      </c>
      <c r="M401" t="s">
        <v>11732</v>
      </c>
      <c r="N401">
        <v>44545</v>
      </c>
    </row>
    <row r="402" spans="1:16" x14ac:dyDescent="0.15">
      <c r="A402">
        <v>34234173</v>
      </c>
      <c r="B402">
        <v>35275615</v>
      </c>
      <c r="F402">
        <v>25040043</v>
      </c>
      <c r="G402" t="s">
        <v>9771</v>
      </c>
      <c r="H402" t="s">
        <v>12823</v>
      </c>
      <c r="I402" t="s">
        <v>9782</v>
      </c>
      <c r="J402" t="s">
        <v>12824</v>
      </c>
      <c r="K402" t="s">
        <v>12825</v>
      </c>
      <c r="L402">
        <v>2015</v>
      </c>
      <c r="M402" t="s">
        <v>12826</v>
      </c>
      <c r="N402">
        <v>41842</v>
      </c>
      <c r="O402" t="s">
        <v>12827</v>
      </c>
      <c r="P402" t="s">
        <v>12828</v>
      </c>
    </row>
    <row r="403" spans="1:16" x14ac:dyDescent="0.15">
      <c r="A403">
        <v>32554054</v>
      </c>
      <c r="B403">
        <v>11090220</v>
      </c>
      <c r="F403">
        <v>21555566</v>
      </c>
      <c r="G403" t="s">
        <v>7510</v>
      </c>
      <c r="H403" t="s">
        <v>12829</v>
      </c>
      <c r="I403" t="s">
        <v>7520</v>
      </c>
      <c r="J403" t="s">
        <v>12830</v>
      </c>
      <c r="K403" t="s">
        <v>12831</v>
      </c>
      <c r="L403">
        <v>2011</v>
      </c>
      <c r="M403" t="s">
        <v>11193</v>
      </c>
      <c r="N403">
        <v>40674</v>
      </c>
      <c r="O403" t="s">
        <v>12832</v>
      </c>
    </row>
    <row r="404" spans="1:16" x14ac:dyDescent="0.15">
      <c r="A404">
        <v>30411781</v>
      </c>
      <c r="B404">
        <v>10772249</v>
      </c>
      <c r="F404">
        <v>9368286</v>
      </c>
      <c r="G404" t="s">
        <v>7223</v>
      </c>
      <c r="H404" t="s">
        <v>12856</v>
      </c>
      <c r="I404" t="s">
        <v>12859</v>
      </c>
      <c r="J404" t="s">
        <v>12857</v>
      </c>
      <c r="K404" t="s">
        <v>12858</v>
      </c>
      <c r="L404">
        <v>1997</v>
      </c>
      <c r="M404" t="s">
        <v>11367</v>
      </c>
      <c r="N404">
        <v>35431</v>
      </c>
    </row>
    <row r="405" spans="1:16" x14ac:dyDescent="0.15">
      <c r="A405">
        <v>29570265</v>
      </c>
      <c r="B405">
        <v>10721728</v>
      </c>
      <c r="F405">
        <v>21893226</v>
      </c>
      <c r="G405" t="s">
        <v>10031</v>
      </c>
      <c r="H405" t="s">
        <v>12860</v>
      </c>
      <c r="I405" t="s">
        <v>10043</v>
      </c>
      <c r="J405" t="s">
        <v>12861</v>
      </c>
      <c r="K405" t="s">
        <v>12862</v>
      </c>
      <c r="L405">
        <v>2011</v>
      </c>
      <c r="M405" t="s">
        <v>12759</v>
      </c>
      <c r="N405">
        <v>40793</v>
      </c>
    </row>
    <row r="406" spans="1:16" x14ac:dyDescent="0.15">
      <c r="A406" t="s">
        <v>74</v>
      </c>
      <c r="B406">
        <v>1644924</v>
      </c>
      <c r="F406">
        <v>27117590</v>
      </c>
      <c r="G406" t="s">
        <v>10236</v>
      </c>
      <c r="H406" t="s">
        <v>12899</v>
      </c>
      <c r="I406" t="s">
        <v>10248</v>
      </c>
      <c r="J406" t="s">
        <v>12900</v>
      </c>
      <c r="K406" t="s">
        <v>12901</v>
      </c>
      <c r="L406">
        <v>2016</v>
      </c>
      <c r="M406" t="s">
        <v>12902</v>
      </c>
      <c r="N406">
        <v>42488</v>
      </c>
      <c r="O406" t="s">
        <v>12903</v>
      </c>
    </row>
    <row r="407" spans="1:16" x14ac:dyDescent="0.15">
      <c r="A407">
        <v>29259699</v>
      </c>
      <c r="B407">
        <v>17823924</v>
      </c>
      <c r="F407">
        <v>23580760</v>
      </c>
      <c r="G407" t="s">
        <v>1903</v>
      </c>
      <c r="H407" t="s">
        <v>12920</v>
      </c>
      <c r="I407" t="s">
        <v>1914</v>
      </c>
      <c r="J407" t="s">
        <v>12921</v>
      </c>
      <c r="K407" t="s">
        <v>12922</v>
      </c>
      <c r="L407">
        <v>2013</v>
      </c>
      <c r="M407" t="s">
        <v>12923</v>
      </c>
      <c r="N407">
        <v>41377</v>
      </c>
      <c r="O407" t="s">
        <v>12924</v>
      </c>
    </row>
    <row r="408" spans="1:16" x14ac:dyDescent="0.15">
      <c r="A408">
        <v>19692638</v>
      </c>
      <c r="B408">
        <v>9712834</v>
      </c>
      <c r="F408">
        <v>9326278</v>
      </c>
      <c r="G408" t="s">
        <v>9482</v>
      </c>
      <c r="H408" t="s">
        <v>12925</v>
      </c>
      <c r="I408" t="s">
        <v>12928</v>
      </c>
      <c r="J408" t="s">
        <v>12926</v>
      </c>
      <c r="K408" t="s">
        <v>12927</v>
      </c>
      <c r="L408">
        <v>1997</v>
      </c>
      <c r="M408" t="s">
        <v>12443</v>
      </c>
      <c r="N408">
        <v>35739</v>
      </c>
    </row>
    <row r="409" spans="1:16" x14ac:dyDescent="0.15">
      <c r="A409">
        <v>21098229</v>
      </c>
      <c r="B409">
        <v>17546597</v>
      </c>
      <c r="F409">
        <v>23590857</v>
      </c>
      <c r="G409" t="s">
        <v>12940</v>
      </c>
      <c r="H409" t="s">
        <v>12941</v>
      </c>
      <c r="I409" t="s">
        <v>5428</v>
      </c>
      <c r="J409" t="s">
        <v>12942</v>
      </c>
      <c r="K409" t="s">
        <v>12943</v>
      </c>
      <c r="L409">
        <v>2013</v>
      </c>
      <c r="M409" t="s">
        <v>11530</v>
      </c>
      <c r="N409">
        <v>41382</v>
      </c>
      <c r="O409" t="s">
        <v>12944</v>
      </c>
    </row>
    <row r="410" spans="1:16" x14ac:dyDescent="0.15">
      <c r="A410">
        <v>33096430</v>
      </c>
      <c r="B410">
        <v>22306653</v>
      </c>
      <c r="F410">
        <v>34837760</v>
      </c>
      <c r="G410" t="s">
        <v>5747</v>
      </c>
      <c r="H410" t="s">
        <v>12945</v>
      </c>
      <c r="I410" t="s">
        <v>5757</v>
      </c>
      <c r="J410" t="s">
        <v>12946</v>
      </c>
      <c r="K410" t="s">
        <v>12947</v>
      </c>
      <c r="L410">
        <v>2022</v>
      </c>
      <c r="M410" t="s">
        <v>12948</v>
      </c>
      <c r="N410">
        <v>44527</v>
      </c>
    </row>
    <row r="411" spans="1:16" x14ac:dyDescent="0.15">
      <c r="A411">
        <v>31200334</v>
      </c>
      <c r="B411">
        <v>2689174</v>
      </c>
      <c r="F411">
        <v>35199894</v>
      </c>
      <c r="G411" t="s">
        <v>3796</v>
      </c>
      <c r="H411" t="s">
        <v>12949</v>
      </c>
      <c r="I411" t="s">
        <v>3808</v>
      </c>
      <c r="J411" t="s">
        <v>12950</v>
      </c>
      <c r="K411" t="s">
        <v>12951</v>
      </c>
      <c r="L411">
        <v>2022</v>
      </c>
      <c r="M411" t="s">
        <v>12952</v>
      </c>
      <c r="N411">
        <v>44616</v>
      </c>
    </row>
    <row r="412" spans="1:16" x14ac:dyDescent="0.15">
      <c r="A412">
        <v>25391690</v>
      </c>
      <c r="B412">
        <v>9873029</v>
      </c>
      <c r="F412">
        <v>11746262</v>
      </c>
      <c r="G412" t="s">
        <v>12966</v>
      </c>
      <c r="H412" t="s">
        <v>12967</v>
      </c>
      <c r="I412" t="s">
        <v>7649</v>
      </c>
      <c r="J412" t="s">
        <v>12968</v>
      </c>
      <c r="K412" t="s">
        <v>12969</v>
      </c>
      <c r="L412">
        <v>2001</v>
      </c>
      <c r="M412" t="s">
        <v>11419</v>
      </c>
      <c r="N412">
        <v>37243</v>
      </c>
    </row>
    <row r="413" spans="1:16" x14ac:dyDescent="0.15">
      <c r="A413" t="s">
        <v>74</v>
      </c>
      <c r="B413">
        <v>12509439</v>
      </c>
      <c r="F413">
        <v>10907991</v>
      </c>
      <c r="G413" t="s">
        <v>13005</v>
      </c>
      <c r="H413" t="s">
        <v>13006</v>
      </c>
      <c r="I413" t="s">
        <v>9237</v>
      </c>
      <c r="J413" t="s">
        <v>13007</v>
      </c>
      <c r="K413" t="s">
        <v>13008</v>
      </c>
      <c r="L413">
        <v>2000</v>
      </c>
      <c r="M413" t="s">
        <v>13009</v>
      </c>
      <c r="N413">
        <v>36732</v>
      </c>
    </row>
    <row r="414" spans="1:16" x14ac:dyDescent="0.15">
      <c r="A414">
        <v>34369746</v>
      </c>
      <c r="B414">
        <v>23020974</v>
      </c>
      <c r="F414">
        <v>24499465</v>
      </c>
      <c r="G414" t="s">
        <v>13023</v>
      </c>
      <c r="H414" t="s">
        <v>13024</v>
      </c>
      <c r="I414" t="s">
        <v>10399</v>
      </c>
      <c r="J414" t="s">
        <v>13025</v>
      </c>
      <c r="K414" t="s">
        <v>13026</v>
      </c>
      <c r="L414">
        <v>2014</v>
      </c>
      <c r="M414" t="s">
        <v>13027</v>
      </c>
      <c r="N414">
        <v>41677</v>
      </c>
      <c r="O414" t="s">
        <v>13028</v>
      </c>
      <c r="P414" t="s">
        <v>13029</v>
      </c>
    </row>
    <row r="415" spans="1:16" x14ac:dyDescent="0.15">
      <c r="A415">
        <v>30350935</v>
      </c>
      <c r="B415">
        <v>7559527</v>
      </c>
      <c r="F415">
        <v>34962643</v>
      </c>
      <c r="G415" t="s">
        <v>8611</v>
      </c>
      <c r="H415" t="s">
        <v>13030</v>
      </c>
      <c r="I415" t="s">
        <v>8623</v>
      </c>
      <c r="J415" t="s">
        <v>13031</v>
      </c>
      <c r="K415" t="s">
        <v>13032</v>
      </c>
      <c r="L415">
        <v>2022</v>
      </c>
      <c r="M415" t="s">
        <v>13033</v>
      </c>
      <c r="N415">
        <v>44558</v>
      </c>
    </row>
    <row r="416" spans="1:16" x14ac:dyDescent="0.15">
      <c r="A416">
        <v>33311558</v>
      </c>
      <c r="B416">
        <v>162859</v>
      </c>
      <c r="F416">
        <v>17286953</v>
      </c>
      <c r="G416" t="s">
        <v>6892</v>
      </c>
      <c r="H416" t="s">
        <v>13057</v>
      </c>
      <c r="I416" t="s">
        <v>6904</v>
      </c>
      <c r="J416" t="s">
        <v>13058</v>
      </c>
      <c r="K416" t="s">
        <v>13059</v>
      </c>
      <c r="L416">
        <v>2007</v>
      </c>
      <c r="M416" t="s">
        <v>13060</v>
      </c>
      <c r="N416">
        <v>39122</v>
      </c>
    </row>
    <row r="417" spans="1:16" x14ac:dyDescent="0.15">
      <c r="A417">
        <v>29769179</v>
      </c>
      <c r="B417">
        <v>10782830</v>
      </c>
      <c r="F417">
        <v>9180905</v>
      </c>
      <c r="G417" t="s">
        <v>13061</v>
      </c>
      <c r="H417" t="s">
        <v>13062</v>
      </c>
      <c r="I417" t="s">
        <v>13065</v>
      </c>
      <c r="J417" t="s">
        <v>13063</v>
      </c>
      <c r="K417" t="s">
        <v>13064</v>
      </c>
      <c r="L417">
        <v>1997</v>
      </c>
      <c r="M417" t="s">
        <v>11258</v>
      </c>
      <c r="N417">
        <v>35582</v>
      </c>
    </row>
    <row r="418" spans="1:16" x14ac:dyDescent="0.15">
      <c r="A418">
        <v>33485367</v>
      </c>
      <c r="B418">
        <v>2154094</v>
      </c>
      <c r="F418">
        <v>21491915</v>
      </c>
      <c r="G418" t="s">
        <v>13127</v>
      </c>
      <c r="H418" t="s">
        <v>13128</v>
      </c>
      <c r="I418" t="s">
        <v>9545</v>
      </c>
      <c r="J418" t="s">
        <v>13129</v>
      </c>
      <c r="K418" t="s">
        <v>13130</v>
      </c>
      <c r="L418">
        <v>2011</v>
      </c>
      <c r="M418" t="s">
        <v>13050</v>
      </c>
      <c r="N418">
        <v>40649</v>
      </c>
    </row>
    <row r="419" spans="1:16" x14ac:dyDescent="0.15">
      <c r="A419">
        <v>28401635</v>
      </c>
      <c r="B419">
        <v>8034739</v>
      </c>
      <c r="F419">
        <v>26018205</v>
      </c>
      <c r="G419" t="s">
        <v>10077</v>
      </c>
      <c r="H419" t="s">
        <v>13131</v>
      </c>
      <c r="I419" t="s">
        <v>10088</v>
      </c>
      <c r="J419" t="s">
        <v>13132</v>
      </c>
      <c r="K419" t="s">
        <v>13133</v>
      </c>
      <c r="L419">
        <v>2015</v>
      </c>
      <c r="M419" t="s">
        <v>11650</v>
      </c>
      <c r="N419">
        <v>42153</v>
      </c>
      <c r="O419" t="s">
        <v>13134</v>
      </c>
    </row>
    <row r="420" spans="1:16" x14ac:dyDescent="0.15">
      <c r="A420" t="s">
        <v>74</v>
      </c>
      <c r="B420">
        <v>9530176</v>
      </c>
      <c r="F420">
        <v>35042294</v>
      </c>
      <c r="G420" t="s">
        <v>5004</v>
      </c>
      <c r="H420" t="s">
        <v>13148</v>
      </c>
      <c r="I420" t="s">
        <v>5013</v>
      </c>
      <c r="J420" t="s">
        <v>13149</v>
      </c>
      <c r="K420" t="s">
        <v>13150</v>
      </c>
      <c r="L420">
        <v>2022</v>
      </c>
      <c r="M420" t="s">
        <v>11453</v>
      </c>
      <c r="N420">
        <v>44580</v>
      </c>
    </row>
    <row r="421" spans="1:16" x14ac:dyDescent="0.15">
      <c r="A421">
        <v>34970155</v>
      </c>
      <c r="B421">
        <v>16553833</v>
      </c>
      <c r="F421">
        <v>35044159</v>
      </c>
      <c r="G421" t="s">
        <v>7628</v>
      </c>
      <c r="H421" t="s">
        <v>13157</v>
      </c>
      <c r="I421" t="s">
        <v>7637</v>
      </c>
      <c r="J421" t="s">
        <v>13158</v>
      </c>
      <c r="K421" t="s">
        <v>13159</v>
      </c>
      <c r="L421">
        <v>2022</v>
      </c>
      <c r="M421" t="s">
        <v>11453</v>
      </c>
      <c r="N421">
        <v>44580</v>
      </c>
    </row>
    <row r="422" spans="1:16" x14ac:dyDescent="0.15">
      <c r="A422">
        <v>34902643</v>
      </c>
      <c r="B422">
        <v>21677667</v>
      </c>
      <c r="F422">
        <v>7745687</v>
      </c>
      <c r="G422" t="s">
        <v>13160</v>
      </c>
      <c r="H422" t="s">
        <v>13161</v>
      </c>
      <c r="I422" t="s">
        <v>13165</v>
      </c>
      <c r="J422" t="s">
        <v>13162</v>
      </c>
      <c r="K422" t="s">
        <v>13163</v>
      </c>
      <c r="L422">
        <v>1995</v>
      </c>
      <c r="M422" t="s">
        <v>13101</v>
      </c>
      <c r="N422">
        <v>34851</v>
      </c>
      <c r="O422" t="s">
        <v>13164</v>
      </c>
    </row>
    <row r="423" spans="1:16" x14ac:dyDescent="0.15">
      <c r="A423">
        <v>28469765</v>
      </c>
      <c r="B423">
        <v>18725234</v>
      </c>
      <c r="F423">
        <v>1649554</v>
      </c>
      <c r="G423" t="s">
        <v>13182</v>
      </c>
      <c r="H423" t="s">
        <v>13183</v>
      </c>
      <c r="J423" t="s">
        <v>13184</v>
      </c>
      <c r="K423" t="s">
        <v>13185</v>
      </c>
      <c r="L423">
        <v>1991</v>
      </c>
      <c r="M423" t="s">
        <v>12623</v>
      </c>
      <c r="N423">
        <v>33420</v>
      </c>
      <c r="O423" t="s">
        <v>13186</v>
      </c>
    </row>
    <row r="424" spans="1:16" x14ac:dyDescent="0.15">
      <c r="A424">
        <v>30178258</v>
      </c>
      <c r="B424">
        <v>9165051</v>
      </c>
      <c r="F424">
        <v>11352238</v>
      </c>
      <c r="G424" t="s">
        <v>10269</v>
      </c>
      <c r="H424" t="s">
        <v>13187</v>
      </c>
      <c r="I424" t="s">
        <v>13190</v>
      </c>
      <c r="J424" t="s">
        <v>13188</v>
      </c>
      <c r="K424" t="s">
        <v>13189</v>
      </c>
      <c r="L424">
        <v>2001</v>
      </c>
      <c r="M424" t="s">
        <v>12891</v>
      </c>
      <c r="N424">
        <v>37027</v>
      </c>
    </row>
    <row r="425" spans="1:16" x14ac:dyDescent="0.15">
      <c r="A425">
        <v>29069893</v>
      </c>
      <c r="B425">
        <v>11207362</v>
      </c>
      <c r="F425">
        <v>10532697</v>
      </c>
      <c r="G425" t="s">
        <v>7367</v>
      </c>
      <c r="H425" t="s">
        <v>13225</v>
      </c>
      <c r="I425" t="s">
        <v>13228</v>
      </c>
      <c r="J425" t="s">
        <v>13226</v>
      </c>
      <c r="K425" t="s">
        <v>13227</v>
      </c>
      <c r="L425">
        <v>1999</v>
      </c>
      <c r="M425" t="s">
        <v>12378</v>
      </c>
      <c r="N425">
        <v>36459</v>
      </c>
    </row>
    <row r="426" spans="1:16" x14ac:dyDescent="0.15">
      <c r="A426">
        <v>33808110</v>
      </c>
      <c r="B426">
        <v>12814647</v>
      </c>
      <c r="F426">
        <v>9652412</v>
      </c>
      <c r="G426" t="s">
        <v>8597</v>
      </c>
      <c r="H426" t="s">
        <v>13277</v>
      </c>
      <c r="I426" t="s">
        <v>8607</v>
      </c>
      <c r="J426" t="s">
        <v>13278</v>
      </c>
      <c r="K426" t="s">
        <v>13279</v>
      </c>
      <c r="L426">
        <v>1998</v>
      </c>
      <c r="M426" t="s">
        <v>13244</v>
      </c>
      <c r="N426">
        <v>35980</v>
      </c>
    </row>
    <row r="427" spans="1:16" x14ac:dyDescent="0.15">
      <c r="A427">
        <v>32892927</v>
      </c>
      <c r="B427">
        <v>22438260</v>
      </c>
      <c r="F427">
        <v>22192456</v>
      </c>
      <c r="G427" t="s">
        <v>8683</v>
      </c>
      <c r="H427" t="s">
        <v>13280</v>
      </c>
      <c r="I427" t="s">
        <v>8695</v>
      </c>
      <c r="J427" t="s">
        <v>13281</v>
      </c>
      <c r="K427" t="s">
        <v>13282</v>
      </c>
      <c r="L427">
        <v>2012</v>
      </c>
      <c r="M427" t="s">
        <v>13283</v>
      </c>
      <c r="N427">
        <v>40901</v>
      </c>
      <c r="O427" t="s">
        <v>13284</v>
      </c>
      <c r="P427" t="s">
        <v>13285</v>
      </c>
    </row>
    <row r="428" spans="1:16" x14ac:dyDescent="0.15">
      <c r="A428" t="s">
        <v>74</v>
      </c>
      <c r="B428">
        <v>9446579</v>
      </c>
      <c r="F428">
        <v>18089561</v>
      </c>
      <c r="G428" t="s">
        <v>13286</v>
      </c>
      <c r="H428" t="s">
        <v>13287</v>
      </c>
      <c r="I428" t="s">
        <v>10027</v>
      </c>
      <c r="J428" t="s">
        <v>13288</v>
      </c>
      <c r="K428" t="s">
        <v>13289</v>
      </c>
      <c r="L428">
        <v>2008</v>
      </c>
      <c r="M428" t="s">
        <v>11800</v>
      </c>
      <c r="N428">
        <v>39436</v>
      </c>
    </row>
    <row r="429" spans="1:16" x14ac:dyDescent="0.15">
      <c r="A429">
        <v>32836016</v>
      </c>
      <c r="B429">
        <v>11988182</v>
      </c>
      <c r="F429">
        <v>8282779</v>
      </c>
      <c r="G429" t="s">
        <v>13322</v>
      </c>
      <c r="H429" t="s">
        <v>13323</v>
      </c>
      <c r="I429" t="s">
        <v>10517</v>
      </c>
      <c r="J429" t="s">
        <v>13324</v>
      </c>
      <c r="K429" t="s">
        <v>13325</v>
      </c>
      <c r="L429">
        <v>1994</v>
      </c>
      <c r="M429" t="s">
        <v>11289</v>
      </c>
      <c r="N429">
        <v>34335</v>
      </c>
      <c r="O429" t="s">
        <v>13326</v>
      </c>
    </row>
    <row r="430" spans="1:16" x14ac:dyDescent="0.15">
      <c r="A430">
        <v>14963039</v>
      </c>
      <c r="B430">
        <v>8849358</v>
      </c>
      <c r="F430">
        <v>8660406</v>
      </c>
      <c r="G430" t="s">
        <v>10630</v>
      </c>
      <c r="H430" t="s">
        <v>13355</v>
      </c>
      <c r="I430" t="s">
        <v>10639</v>
      </c>
      <c r="J430" t="s">
        <v>13356</v>
      </c>
      <c r="K430" t="s">
        <v>13357</v>
      </c>
      <c r="L430">
        <v>1996</v>
      </c>
      <c r="M430" t="s">
        <v>13358</v>
      </c>
      <c r="N430">
        <v>35247</v>
      </c>
    </row>
    <row r="431" spans="1:16" x14ac:dyDescent="0.15">
      <c r="A431">
        <v>33369394</v>
      </c>
    </row>
    <row r="432" spans="1:16" x14ac:dyDescent="0.15">
      <c r="A432">
        <v>35075190</v>
      </c>
    </row>
    <row r="433" spans="1:1" x14ac:dyDescent="0.15">
      <c r="A433">
        <v>33942501</v>
      </c>
    </row>
    <row r="434" spans="1:1" x14ac:dyDescent="0.15">
      <c r="A434" t="s">
        <v>74</v>
      </c>
    </row>
    <row r="435" spans="1:1" x14ac:dyDescent="0.15">
      <c r="A435" t="s">
        <v>74</v>
      </c>
    </row>
    <row r="436" spans="1:1" x14ac:dyDescent="0.15">
      <c r="A436">
        <v>31611906</v>
      </c>
    </row>
    <row r="437" spans="1:1" x14ac:dyDescent="0.15">
      <c r="A437">
        <v>31292829</v>
      </c>
    </row>
    <row r="438" spans="1:1" x14ac:dyDescent="0.15">
      <c r="A438">
        <v>29660021</v>
      </c>
    </row>
    <row r="439" spans="1:1" x14ac:dyDescent="0.15">
      <c r="A439">
        <v>32966397</v>
      </c>
    </row>
    <row r="440" spans="1:1" x14ac:dyDescent="0.15">
      <c r="A440">
        <v>31086892</v>
      </c>
    </row>
    <row r="441" spans="1:1" x14ac:dyDescent="0.15">
      <c r="A441">
        <v>35057921</v>
      </c>
    </row>
    <row r="442" spans="1:1" x14ac:dyDescent="0.15">
      <c r="A442">
        <v>34565331</v>
      </c>
    </row>
    <row r="443" spans="1:1" x14ac:dyDescent="0.15">
      <c r="A443">
        <v>17286953</v>
      </c>
    </row>
    <row r="444" spans="1:1" x14ac:dyDescent="0.15">
      <c r="A444">
        <v>24862597</v>
      </c>
    </row>
    <row r="445" spans="1:1" x14ac:dyDescent="0.15">
      <c r="A445">
        <v>23874201</v>
      </c>
    </row>
    <row r="446" spans="1:1" x14ac:dyDescent="0.15">
      <c r="A446">
        <v>33376973</v>
      </c>
    </row>
    <row r="447" spans="1:1" x14ac:dyDescent="0.15">
      <c r="A447">
        <v>16107606</v>
      </c>
    </row>
    <row r="448" spans="1:1" x14ac:dyDescent="0.15">
      <c r="A448">
        <v>29849879</v>
      </c>
    </row>
    <row r="449" spans="1:1" x14ac:dyDescent="0.15">
      <c r="A449">
        <v>35092573</v>
      </c>
    </row>
    <row r="450" spans="1:1" x14ac:dyDescent="0.15">
      <c r="A450">
        <v>29712935</v>
      </c>
    </row>
    <row r="451" spans="1:1" x14ac:dyDescent="0.15">
      <c r="A451">
        <v>33978996</v>
      </c>
    </row>
    <row r="452" spans="1:1" x14ac:dyDescent="0.15">
      <c r="A452">
        <v>35049651</v>
      </c>
    </row>
    <row r="453" spans="1:1" x14ac:dyDescent="0.15">
      <c r="A453">
        <v>30847303</v>
      </c>
    </row>
    <row r="454" spans="1:1" x14ac:dyDescent="0.15">
      <c r="A454">
        <v>31903745</v>
      </c>
    </row>
    <row r="455" spans="1:1" x14ac:dyDescent="0.15">
      <c r="A455">
        <v>30536653</v>
      </c>
    </row>
    <row r="456" spans="1:1" x14ac:dyDescent="0.15">
      <c r="A456">
        <v>31053596</v>
      </c>
    </row>
    <row r="457" spans="1:1" x14ac:dyDescent="0.15">
      <c r="A457">
        <v>32600030</v>
      </c>
    </row>
    <row r="458" spans="1:1" x14ac:dyDescent="0.15">
      <c r="A458">
        <v>27514468</v>
      </c>
    </row>
    <row r="459" spans="1:1" x14ac:dyDescent="0.15">
      <c r="A459">
        <v>35081499</v>
      </c>
    </row>
    <row r="460" spans="1:1" x14ac:dyDescent="0.15">
      <c r="A460">
        <v>32760343</v>
      </c>
    </row>
    <row r="461" spans="1:1" x14ac:dyDescent="0.15">
      <c r="A461" t="s">
        <v>74</v>
      </c>
    </row>
    <row r="462" spans="1:1" x14ac:dyDescent="0.15">
      <c r="A462" t="s">
        <v>74</v>
      </c>
    </row>
    <row r="463" spans="1:1" x14ac:dyDescent="0.15">
      <c r="A463">
        <v>24046067</v>
      </c>
    </row>
    <row r="464" spans="1:1" x14ac:dyDescent="0.15">
      <c r="A464">
        <v>28368488</v>
      </c>
    </row>
    <row r="465" spans="1:1" x14ac:dyDescent="0.15">
      <c r="A465">
        <v>9368286</v>
      </c>
    </row>
    <row r="466" spans="1:1" x14ac:dyDescent="0.15">
      <c r="A466">
        <v>26556992</v>
      </c>
    </row>
    <row r="467" spans="1:1" x14ac:dyDescent="0.15">
      <c r="A467">
        <v>7561149</v>
      </c>
    </row>
    <row r="468" spans="1:1" x14ac:dyDescent="0.15">
      <c r="A468">
        <v>28574818</v>
      </c>
    </row>
    <row r="469" spans="1:1" x14ac:dyDescent="0.15">
      <c r="A469">
        <v>25650727</v>
      </c>
    </row>
    <row r="470" spans="1:1" x14ac:dyDescent="0.15">
      <c r="A470">
        <v>28104621</v>
      </c>
    </row>
    <row r="471" spans="1:1" x14ac:dyDescent="0.15">
      <c r="A471">
        <v>32622965</v>
      </c>
    </row>
    <row r="472" spans="1:1" x14ac:dyDescent="0.15">
      <c r="A472">
        <v>35189412</v>
      </c>
    </row>
    <row r="473" spans="1:1" x14ac:dyDescent="0.15">
      <c r="A473">
        <v>35338758</v>
      </c>
    </row>
    <row r="474" spans="1:1" x14ac:dyDescent="0.15">
      <c r="A474">
        <v>30992025</v>
      </c>
    </row>
    <row r="475" spans="1:1" x14ac:dyDescent="0.15">
      <c r="A475">
        <v>10532697</v>
      </c>
    </row>
    <row r="476" spans="1:1" x14ac:dyDescent="0.15">
      <c r="A476">
        <v>10818607</v>
      </c>
    </row>
    <row r="477" spans="1:1" x14ac:dyDescent="0.15">
      <c r="A477">
        <v>35565192</v>
      </c>
    </row>
    <row r="478" spans="1:1" x14ac:dyDescent="0.15">
      <c r="A478">
        <v>33651347</v>
      </c>
    </row>
    <row r="479" spans="1:1" x14ac:dyDescent="0.15">
      <c r="A479">
        <v>32932883</v>
      </c>
    </row>
    <row r="480" spans="1:1" x14ac:dyDescent="0.15">
      <c r="A480">
        <v>30697539</v>
      </c>
    </row>
    <row r="481" spans="1:1" x14ac:dyDescent="0.15">
      <c r="A481">
        <v>29192155</v>
      </c>
    </row>
    <row r="482" spans="1:1" x14ac:dyDescent="0.15">
      <c r="A482">
        <v>23402739</v>
      </c>
    </row>
    <row r="483" spans="1:1" x14ac:dyDescent="0.15">
      <c r="A483">
        <v>34698812</v>
      </c>
    </row>
    <row r="484" spans="1:1" x14ac:dyDescent="0.15">
      <c r="A484">
        <v>25795433</v>
      </c>
    </row>
    <row r="485" spans="1:1" x14ac:dyDescent="0.15">
      <c r="A485">
        <v>21555566</v>
      </c>
    </row>
    <row r="486" spans="1:1" x14ac:dyDescent="0.15">
      <c r="A486">
        <v>30247599</v>
      </c>
    </row>
    <row r="487" spans="1:1" x14ac:dyDescent="0.15">
      <c r="A487">
        <v>31856390</v>
      </c>
    </row>
    <row r="488" spans="1:1" x14ac:dyDescent="0.15">
      <c r="A488">
        <v>32925795</v>
      </c>
    </row>
    <row r="489" spans="1:1" x14ac:dyDescent="0.15">
      <c r="A489">
        <v>31896748</v>
      </c>
    </row>
    <row r="490" spans="1:1" x14ac:dyDescent="0.15">
      <c r="A490">
        <v>21638509</v>
      </c>
    </row>
    <row r="491" spans="1:1" x14ac:dyDescent="0.15">
      <c r="A491">
        <v>31605237</v>
      </c>
    </row>
    <row r="492" spans="1:1" x14ac:dyDescent="0.15">
      <c r="A492">
        <v>33945510</v>
      </c>
    </row>
    <row r="493" spans="1:1" x14ac:dyDescent="0.15">
      <c r="A493">
        <v>35044159</v>
      </c>
    </row>
    <row r="494" spans="1:1" x14ac:dyDescent="0.15">
      <c r="A494">
        <v>11746262</v>
      </c>
    </row>
    <row r="495" spans="1:1" x14ac:dyDescent="0.15">
      <c r="A495">
        <v>29278659</v>
      </c>
    </row>
    <row r="496" spans="1:1" x14ac:dyDescent="0.15">
      <c r="A496">
        <v>27092489</v>
      </c>
    </row>
    <row r="497" spans="1:1" x14ac:dyDescent="0.15">
      <c r="A497">
        <v>28218293</v>
      </c>
    </row>
    <row r="498" spans="1:1" x14ac:dyDescent="0.15">
      <c r="A498">
        <v>27071670</v>
      </c>
    </row>
    <row r="499" spans="1:1" x14ac:dyDescent="0.15">
      <c r="A499">
        <v>29321591</v>
      </c>
    </row>
    <row r="500" spans="1:1" x14ac:dyDescent="0.15">
      <c r="A500">
        <v>32594744</v>
      </c>
    </row>
    <row r="501" spans="1:1" x14ac:dyDescent="0.15">
      <c r="A501">
        <v>33599630</v>
      </c>
    </row>
    <row r="502" spans="1:1" x14ac:dyDescent="0.15">
      <c r="A502">
        <v>32380415</v>
      </c>
    </row>
    <row r="503" spans="1:1" x14ac:dyDescent="0.15">
      <c r="A503">
        <v>25266310</v>
      </c>
    </row>
    <row r="504" spans="1:1" x14ac:dyDescent="0.15">
      <c r="A504">
        <v>30240661</v>
      </c>
    </row>
    <row r="505" spans="1:1" x14ac:dyDescent="0.15">
      <c r="A505">
        <v>29222696</v>
      </c>
    </row>
    <row r="506" spans="1:1" x14ac:dyDescent="0.15">
      <c r="A506">
        <v>29750752</v>
      </c>
    </row>
    <row r="507" spans="1:1" x14ac:dyDescent="0.15">
      <c r="A507">
        <v>26959653</v>
      </c>
    </row>
    <row r="508" spans="1:1" x14ac:dyDescent="0.15">
      <c r="A508">
        <v>35220071</v>
      </c>
    </row>
    <row r="509" spans="1:1" x14ac:dyDescent="0.15">
      <c r="A509">
        <v>7608073</v>
      </c>
    </row>
    <row r="510" spans="1:1" x14ac:dyDescent="0.15">
      <c r="A510">
        <v>29558959</v>
      </c>
    </row>
    <row r="511" spans="1:1" x14ac:dyDescent="0.15">
      <c r="A511">
        <v>31843276</v>
      </c>
    </row>
    <row r="512" spans="1:1" x14ac:dyDescent="0.15">
      <c r="A512">
        <v>1542051</v>
      </c>
    </row>
    <row r="513" spans="1:1" x14ac:dyDescent="0.15">
      <c r="A513">
        <v>31919754</v>
      </c>
    </row>
    <row r="514" spans="1:1" x14ac:dyDescent="0.15">
      <c r="A514">
        <v>32028208</v>
      </c>
    </row>
    <row r="515" spans="1:1" x14ac:dyDescent="0.15">
      <c r="A515">
        <v>10373306</v>
      </c>
    </row>
    <row r="516" spans="1:1" x14ac:dyDescent="0.15">
      <c r="A516">
        <v>29371474</v>
      </c>
    </row>
    <row r="517" spans="1:1" x14ac:dyDescent="0.15">
      <c r="A517" t="s">
        <v>74</v>
      </c>
    </row>
    <row r="518" spans="1:1" x14ac:dyDescent="0.15">
      <c r="A518">
        <v>32634139</v>
      </c>
    </row>
    <row r="519" spans="1:1" x14ac:dyDescent="0.15">
      <c r="A519">
        <v>32741216</v>
      </c>
    </row>
    <row r="520" spans="1:1" x14ac:dyDescent="0.15">
      <c r="A520">
        <v>33194377</v>
      </c>
    </row>
    <row r="521" spans="1:1" x14ac:dyDescent="0.15">
      <c r="A521">
        <v>29234015</v>
      </c>
    </row>
    <row r="522" spans="1:1" x14ac:dyDescent="0.15">
      <c r="A522" t="s">
        <v>74</v>
      </c>
    </row>
    <row r="523" spans="1:1" x14ac:dyDescent="0.15">
      <c r="A523">
        <v>16442705</v>
      </c>
    </row>
    <row r="524" spans="1:1" x14ac:dyDescent="0.15">
      <c r="A524">
        <v>32651457</v>
      </c>
    </row>
    <row r="525" spans="1:1" x14ac:dyDescent="0.15">
      <c r="A525">
        <v>32255115</v>
      </c>
    </row>
    <row r="526" spans="1:1" x14ac:dyDescent="0.15">
      <c r="A526">
        <v>34771645</v>
      </c>
    </row>
    <row r="527" spans="1:1" x14ac:dyDescent="0.15">
      <c r="A527">
        <v>29121557</v>
      </c>
    </row>
    <row r="528" spans="1:1" x14ac:dyDescent="0.15">
      <c r="A528">
        <v>28024455</v>
      </c>
    </row>
    <row r="529" spans="1:1" x14ac:dyDescent="0.15">
      <c r="A529">
        <v>33651959</v>
      </c>
    </row>
    <row r="530" spans="1:1" x14ac:dyDescent="0.15">
      <c r="A530">
        <v>35159325</v>
      </c>
    </row>
    <row r="531" spans="1:1" x14ac:dyDescent="0.15">
      <c r="A531" t="s">
        <v>74</v>
      </c>
    </row>
    <row r="532" spans="1:1" x14ac:dyDescent="0.15">
      <c r="A532">
        <v>31057302</v>
      </c>
    </row>
    <row r="533" spans="1:1" x14ac:dyDescent="0.15">
      <c r="A533">
        <v>34811396</v>
      </c>
    </row>
    <row r="534" spans="1:1" x14ac:dyDescent="0.15">
      <c r="A534">
        <v>34637590</v>
      </c>
    </row>
    <row r="535" spans="1:1" x14ac:dyDescent="0.15">
      <c r="A535">
        <v>32108034</v>
      </c>
    </row>
    <row r="536" spans="1:1" x14ac:dyDescent="0.15">
      <c r="A536">
        <v>34688997</v>
      </c>
    </row>
    <row r="537" spans="1:1" x14ac:dyDescent="0.15">
      <c r="A537">
        <v>7678433</v>
      </c>
    </row>
    <row r="538" spans="1:1" x14ac:dyDescent="0.15">
      <c r="A538">
        <v>33275138</v>
      </c>
    </row>
    <row r="539" spans="1:1" x14ac:dyDescent="0.15">
      <c r="A539" t="s">
        <v>74</v>
      </c>
    </row>
    <row r="540" spans="1:1" x14ac:dyDescent="0.15">
      <c r="A540">
        <v>33658079</v>
      </c>
    </row>
    <row r="541" spans="1:1" x14ac:dyDescent="0.15">
      <c r="A541">
        <v>31965891</v>
      </c>
    </row>
    <row r="542" spans="1:1" x14ac:dyDescent="0.15">
      <c r="A542">
        <v>16002628</v>
      </c>
    </row>
    <row r="543" spans="1:1" x14ac:dyDescent="0.15">
      <c r="A543">
        <v>35371331</v>
      </c>
    </row>
    <row r="544" spans="1:1" x14ac:dyDescent="0.15">
      <c r="A544" t="s">
        <v>74</v>
      </c>
    </row>
    <row r="545" spans="1:1" x14ac:dyDescent="0.15">
      <c r="A545">
        <v>31894795</v>
      </c>
    </row>
    <row r="546" spans="1:1" x14ac:dyDescent="0.15">
      <c r="A546">
        <v>28722786</v>
      </c>
    </row>
    <row r="547" spans="1:1" x14ac:dyDescent="0.15">
      <c r="A547">
        <v>35722385</v>
      </c>
    </row>
    <row r="548" spans="1:1" x14ac:dyDescent="0.15">
      <c r="A548">
        <v>15889135</v>
      </c>
    </row>
    <row r="549" spans="1:1" x14ac:dyDescent="0.15">
      <c r="A549">
        <v>33844518</v>
      </c>
    </row>
    <row r="550" spans="1:1" x14ac:dyDescent="0.15">
      <c r="A550">
        <v>35454997</v>
      </c>
    </row>
    <row r="551" spans="1:1" x14ac:dyDescent="0.15">
      <c r="A551">
        <v>27259562</v>
      </c>
    </row>
    <row r="552" spans="1:1" x14ac:dyDescent="0.15">
      <c r="A552">
        <v>29787437</v>
      </c>
    </row>
    <row r="553" spans="1:1" x14ac:dyDescent="0.15">
      <c r="A553">
        <v>33500577</v>
      </c>
    </row>
    <row r="554" spans="1:1" x14ac:dyDescent="0.15">
      <c r="A554">
        <v>33488093</v>
      </c>
    </row>
    <row r="555" spans="1:1" x14ac:dyDescent="0.15">
      <c r="A555">
        <v>32823598</v>
      </c>
    </row>
    <row r="556" spans="1:1" x14ac:dyDescent="0.15">
      <c r="A556">
        <v>30279572</v>
      </c>
    </row>
    <row r="557" spans="1:1" x14ac:dyDescent="0.15">
      <c r="A557">
        <v>26201019</v>
      </c>
    </row>
    <row r="558" spans="1:1" x14ac:dyDescent="0.15">
      <c r="A558">
        <v>19146850</v>
      </c>
    </row>
    <row r="559" spans="1:1" x14ac:dyDescent="0.15">
      <c r="A559">
        <v>9652412</v>
      </c>
    </row>
    <row r="560" spans="1:1" x14ac:dyDescent="0.15">
      <c r="A560">
        <v>34962643</v>
      </c>
    </row>
    <row r="561" spans="1:1" x14ac:dyDescent="0.15">
      <c r="A561">
        <v>30022183</v>
      </c>
    </row>
    <row r="562" spans="1:1" x14ac:dyDescent="0.15">
      <c r="A562">
        <v>30033809</v>
      </c>
    </row>
    <row r="563" spans="1:1" x14ac:dyDescent="0.15">
      <c r="A563">
        <v>31808871</v>
      </c>
    </row>
    <row r="564" spans="1:1" x14ac:dyDescent="0.15">
      <c r="A564">
        <v>22192456</v>
      </c>
    </row>
    <row r="565" spans="1:1" x14ac:dyDescent="0.15">
      <c r="A565">
        <v>33799709</v>
      </c>
    </row>
    <row r="566" spans="1:1" x14ac:dyDescent="0.15">
      <c r="A566" t="s">
        <v>74</v>
      </c>
    </row>
    <row r="567" spans="1:1" x14ac:dyDescent="0.15">
      <c r="A567">
        <v>24164173</v>
      </c>
    </row>
    <row r="568" spans="1:1" x14ac:dyDescent="0.15">
      <c r="A568">
        <v>30305607</v>
      </c>
    </row>
    <row r="569" spans="1:1" x14ac:dyDescent="0.15">
      <c r="A569">
        <v>33491014</v>
      </c>
    </row>
    <row r="570" spans="1:1" x14ac:dyDescent="0.15">
      <c r="A570">
        <v>32476275</v>
      </c>
    </row>
    <row r="571" spans="1:1" x14ac:dyDescent="0.15">
      <c r="A571">
        <v>32915353</v>
      </c>
    </row>
    <row r="572" spans="1:1" x14ac:dyDescent="0.15">
      <c r="A572" t="s">
        <v>74</v>
      </c>
    </row>
    <row r="573" spans="1:1" x14ac:dyDescent="0.15">
      <c r="A573">
        <v>34426211</v>
      </c>
    </row>
    <row r="574" spans="1:1" x14ac:dyDescent="0.15">
      <c r="A574">
        <v>35290882</v>
      </c>
    </row>
    <row r="575" spans="1:1" x14ac:dyDescent="0.15">
      <c r="A575">
        <v>24815811</v>
      </c>
    </row>
    <row r="576" spans="1:1" x14ac:dyDescent="0.15">
      <c r="A576">
        <v>7918455</v>
      </c>
    </row>
    <row r="577" spans="1:1" x14ac:dyDescent="0.15">
      <c r="A577">
        <v>29084979</v>
      </c>
    </row>
    <row r="578" spans="1:1" x14ac:dyDescent="0.15">
      <c r="A578">
        <v>35267452</v>
      </c>
    </row>
    <row r="579" spans="1:1" x14ac:dyDescent="0.15">
      <c r="A579">
        <v>21461976</v>
      </c>
    </row>
    <row r="580" spans="1:1" x14ac:dyDescent="0.15">
      <c r="A580">
        <v>34528938</v>
      </c>
    </row>
    <row r="581" spans="1:1" x14ac:dyDescent="0.15">
      <c r="A581">
        <v>29759067</v>
      </c>
    </row>
    <row r="582" spans="1:1" x14ac:dyDescent="0.15">
      <c r="A582">
        <v>35036051</v>
      </c>
    </row>
    <row r="583" spans="1:1" x14ac:dyDescent="0.15">
      <c r="A583">
        <v>7919334</v>
      </c>
    </row>
    <row r="584" spans="1:1" x14ac:dyDescent="0.15">
      <c r="A584">
        <v>28724791</v>
      </c>
    </row>
    <row r="585" spans="1:1" x14ac:dyDescent="0.15">
      <c r="A585">
        <v>30023671</v>
      </c>
    </row>
    <row r="586" spans="1:1" x14ac:dyDescent="0.15">
      <c r="A586">
        <v>34890883</v>
      </c>
    </row>
    <row r="587" spans="1:1" x14ac:dyDescent="0.15">
      <c r="A587">
        <v>34489723</v>
      </c>
    </row>
    <row r="588" spans="1:1" x14ac:dyDescent="0.15">
      <c r="A588">
        <v>29156055</v>
      </c>
    </row>
    <row r="589" spans="1:1" x14ac:dyDescent="0.15">
      <c r="A589">
        <v>34150007</v>
      </c>
    </row>
    <row r="590" spans="1:1" x14ac:dyDescent="0.15">
      <c r="A590">
        <v>28492516</v>
      </c>
    </row>
    <row r="591" spans="1:1" x14ac:dyDescent="0.15">
      <c r="A591">
        <v>25082876</v>
      </c>
    </row>
    <row r="592" spans="1:1" x14ac:dyDescent="0.15">
      <c r="A592">
        <v>33383715</v>
      </c>
    </row>
    <row r="593" spans="1:1" x14ac:dyDescent="0.15">
      <c r="A593">
        <v>34545097</v>
      </c>
    </row>
    <row r="594" spans="1:1" x14ac:dyDescent="0.15">
      <c r="A594">
        <v>32019550</v>
      </c>
    </row>
    <row r="595" spans="1:1" x14ac:dyDescent="0.15">
      <c r="A595">
        <v>32170015</v>
      </c>
    </row>
    <row r="596" spans="1:1" x14ac:dyDescent="0.15">
      <c r="A596">
        <v>32246814</v>
      </c>
    </row>
    <row r="597" spans="1:1" x14ac:dyDescent="0.15">
      <c r="A597">
        <v>35182955</v>
      </c>
    </row>
    <row r="598" spans="1:1" x14ac:dyDescent="0.15">
      <c r="A598">
        <v>34188709</v>
      </c>
    </row>
    <row r="599" spans="1:1" x14ac:dyDescent="0.15">
      <c r="A599">
        <v>26530043</v>
      </c>
    </row>
    <row r="600" spans="1:1" x14ac:dyDescent="0.15">
      <c r="A600">
        <v>30177542</v>
      </c>
    </row>
    <row r="601" spans="1:1" x14ac:dyDescent="0.15">
      <c r="A601">
        <v>23949796</v>
      </c>
    </row>
    <row r="602" spans="1:1" x14ac:dyDescent="0.15">
      <c r="A602">
        <v>10907991</v>
      </c>
    </row>
    <row r="603" spans="1:1" x14ac:dyDescent="0.15">
      <c r="A603">
        <v>34112774</v>
      </c>
    </row>
    <row r="604" spans="1:1" x14ac:dyDescent="0.15">
      <c r="A604">
        <v>32982917</v>
      </c>
    </row>
    <row r="605" spans="1:1" x14ac:dyDescent="0.15">
      <c r="A605">
        <v>25908243</v>
      </c>
    </row>
    <row r="606" spans="1:1" x14ac:dyDescent="0.15">
      <c r="A606">
        <v>30034830</v>
      </c>
    </row>
    <row r="607" spans="1:1" x14ac:dyDescent="0.15">
      <c r="A607">
        <v>24352757</v>
      </c>
    </row>
    <row r="608" spans="1:1" x14ac:dyDescent="0.15">
      <c r="A608">
        <v>7745687</v>
      </c>
    </row>
    <row r="609" spans="1:1" x14ac:dyDescent="0.15">
      <c r="A609">
        <v>24573314</v>
      </c>
    </row>
    <row r="610" spans="1:1" x14ac:dyDescent="0.15">
      <c r="A610">
        <v>27681879</v>
      </c>
    </row>
    <row r="611" spans="1:1" x14ac:dyDescent="0.15">
      <c r="A611">
        <v>15659066</v>
      </c>
    </row>
    <row r="612" spans="1:1" x14ac:dyDescent="0.15">
      <c r="A612">
        <v>28650960</v>
      </c>
    </row>
    <row r="613" spans="1:1" x14ac:dyDescent="0.15">
      <c r="A613">
        <v>1649554</v>
      </c>
    </row>
    <row r="614" spans="1:1" x14ac:dyDescent="0.15">
      <c r="A614" t="s">
        <v>74</v>
      </c>
    </row>
    <row r="615" spans="1:1" x14ac:dyDescent="0.15">
      <c r="A615">
        <v>34105205</v>
      </c>
    </row>
    <row r="616" spans="1:1" x14ac:dyDescent="0.15">
      <c r="A616">
        <v>33975677</v>
      </c>
    </row>
    <row r="617" spans="1:1" x14ac:dyDescent="0.15">
      <c r="A617">
        <v>29973048</v>
      </c>
    </row>
    <row r="618" spans="1:1" x14ac:dyDescent="0.15">
      <c r="A618">
        <v>24984623</v>
      </c>
    </row>
    <row r="619" spans="1:1" x14ac:dyDescent="0.15">
      <c r="A619">
        <v>34720597</v>
      </c>
    </row>
    <row r="620" spans="1:1" x14ac:dyDescent="0.15">
      <c r="A620">
        <v>9326278</v>
      </c>
    </row>
    <row r="621" spans="1:1" x14ac:dyDescent="0.15">
      <c r="A621">
        <v>34656688</v>
      </c>
    </row>
    <row r="622" spans="1:1" x14ac:dyDescent="0.15">
      <c r="A622">
        <v>35421672</v>
      </c>
    </row>
    <row r="623" spans="1:1" x14ac:dyDescent="0.15">
      <c r="A623">
        <v>24235331</v>
      </c>
    </row>
    <row r="624" spans="1:1" x14ac:dyDescent="0.15">
      <c r="A624">
        <v>21491915</v>
      </c>
    </row>
    <row r="625" spans="1:1" x14ac:dyDescent="0.15">
      <c r="A625">
        <v>30085333</v>
      </c>
    </row>
    <row r="626" spans="1:1" x14ac:dyDescent="0.15">
      <c r="A626">
        <v>32160132</v>
      </c>
    </row>
    <row r="627" spans="1:1" x14ac:dyDescent="0.15">
      <c r="A627">
        <v>33979310</v>
      </c>
    </row>
    <row r="628" spans="1:1" x14ac:dyDescent="0.15">
      <c r="A628">
        <v>31982644</v>
      </c>
    </row>
    <row r="629" spans="1:1" x14ac:dyDescent="0.15">
      <c r="A629">
        <v>33867829</v>
      </c>
    </row>
    <row r="630" spans="1:1" x14ac:dyDescent="0.15">
      <c r="A630">
        <v>30350211</v>
      </c>
    </row>
    <row r="631" spans="1:1" x14ac:dyDescent="0.15">
      <c r="A631">
        <v>34972769</v>
      </c>
    </row>
    <row r="632" spans="1:1" x14ac:dyDescent="0.15">
      <c r="A632">
        <v>34001236</v>
      </c>
    </row>
    <row r="633" spans="1:1" x14ac:dyDescent="0.15">
      <c r="A633" t="s">
        <v>74</v>
      </c>
    </row>
    <row r="634" spans="1:1" x14ac:dyDescent="0.15">
      <c r="A634">
        <v>34386404</v>
      </c>
    </row>
    <row r="635" spans="1:1" x14ac:dyDescent="0.15">
      <c r="A635">
        <v>34248507</v>
      </c>
    </row>
    <row r="636" spans="1:1" x14ac:dyDescent="0.15">
      <c r="A636" t="s">
        <v>74</v>
      </c>
    </row>
    <row r="637" spans="1:1" x14ac:dyDescent="0.15">
      <c r="A637">
        <v>35710947</v>
      </c>
    </row>
    <row r="638" spans="1:1" x14ac:dyDescent="0.15">
      <c r="A638">
        <v>32929219</v>
      </c>
    </row>
    <row r="639" spans="1:1" x14ac:dyDescent="0.15">
      <c r="A639">
        <v>25040043</v>
      </c>
    </row>
    <row r="640" spans="1:1" x14ac:dyDescent="0.15">
      <c r="A640">
        <v>28319051</v>
      </c>
    </row>
    <row r="641" spans="1:1" x14ac:dyDescent="0.15">
      <c r="A641">
        <v>32765191</v>
      </c>
    </row>
    <row r="642" spans="1:1" x14ac:dyDescent="0.15">
      <c r="A642">
        <v>27611973</v>
      </c>
    </row>
    <row r="643" spans="1:1" x14ac:dyDescent="0.15">
      <c r="A643">
        <v>34497581</v>
      </c>
    </row>
    <row r="644" spans="1:1" x14ac:dyDescent="0.15">
      <c r="A644">
        <v>19532123</v>
      </c>
    </row>
    <row r="645" spans="1:1" x14ac:dyDescent="0.15">
      <c r="A645">
        <v>19835589</v>
      </c>
    </row>
    <row r="646" spans="1:1" x14ac:dyDescent="0.15">
      <c r="A646">
        <v>29434260</v>
      </c>
    </row>
    <row r="647" spans="1:1" x14ac:dyDescent="0.15">
      <c r="A647">
        <v>26170381</v>
      </c>
    </row>
    <row r="648" spans="1:1" x14ac:dyDescent="0.15">
      <c r="A648">
        <v>8021295</v>
      </c>
    </row>
    <row r="649" spans="1:1" x14ac:dyDescent="0.15">
      <c r="A649">
        <v>16408294</v>
      </c>
    </row>
    <row r="650" spans="1:1" x14ac:dyDescent="0.15">
      <c r="A650">
        <v>32883873</v>
      </c>
    </row>
    <row r="651" spans="1:1" x14ac:dyDescent="0.15">
      <c r="A651">
        <v>32866177</v>
      </c>
    </row>
    <row r="652" spans="1:1" x14ac:dyDescent="0.15">
      <c r="A652">
        <v>35598553</v>
      </c>
    </row>
    <row r="653" spans="1:1" x14ac:dyDescent="0.15">
      <c r="A653">
        <v>26425612</v>
      </c>
    </row>
    <row r="654" spans="1:1" x14ac:dyDescent="0.15">
      <c r="A654">
        <v>33693781</v>
      </c>
    </row>
    <row r="655" spans="1:1" x14ac:dyDescent="0.15">
      <c r="A655">
        <v>24825433</v>
      </c>
    </row>
    <row r="656" spans="1:1" x14ac:dyDescent="0.15">
      <c r="A656">
        <v>29434051</v>
      </c>
    </row>
    <row r="657" spans="1:1" x14ac:dyDescent="0.15">
      <c r="A657">
        <v>18089561</v>
      </c>
    </row>
    <row r="658" spans="1:1" x14ac:dyDescent="0.15">
      <c r="A658">
        <v>21893226</v>
      </c>
    </row>
    <row r="659" spans="1:1" x14ac:dyDescent="0.15">
      <c r="A659">
        <v>35742955</v>
      </c>
    </row>
    <row r="660" spans="1:1" x14ac:dyDescent="0.15">
      <c r="A660">
        <v>26431820</v>
      </c>
    </row>
    <row r="661" spans="1:1" x14ac:dyDescent="0.15">
      <c r="A661">
        <v>26018205</v>
      </c>
    </row>
    <row r="662" spans="1:1" x14ac:dyDescent="0.15">
      <c r="A662">
        <v>8569746</v>
      </c>
    </row>
    <row r="663" spans="1:1" x14ac:dyDescent="0.15">
      <c r="A663">
        <v>30953539</v>
      </c>
    </row>
    <row r="664" spans="1:1" x14ac:dyDescent="0.15">
      <c r="A664">
        <v>25811468</v>
      </c>
    </row>
    <row r="665" spans="1:1" x14ac:dyDescent="0.15">
      <c r="A665">
        <v>29621120</v>
      </c>
    </row>
    <row r="666" spans="1:1" x14ac:dyDescent="0.15">
      <c r="A666">
        <v>22688190</v>
      </c>
    </row>
    <row r="667" spans="1:1" x14ac:dyDescent="0.15">
      <c r="A667">
        <v>34517648</v>
      </c>
    </row>
    <row r="668" spans="1:1" x14ac:dyDescent="0.15">
      <c r="A668" t="s">
        <v>74</v>
      </c>
    </row>
    <row r="669" spans="1:1" x14ac:dyDescent="0.15">
      <c r="A669">
        <v>24988338</v>
      </c>
    </row>
    <row r="670" spans="1:1" x14ac:dyDescent="0.15">
      <c r="A670">
        <v>35898402</v>
      </c>
    </row>
    <row r="671" spans="1:1" x14ac:dyDescent="0.15">
      <c r="A671">
        <v>9180905</v>
      </c>
    </row>
    <row r="672" spans="1:1" x14ac:dyDescent="0.15">
      <c r="A672">
        <v>27117590</v>
      </c>
    </row>
    <row r="673" spans="1:1" x14ac:dyDescent="0.15">
      <c r="A673">
        <v>24569769</v>
      </c>
    </row>
    <row r="674" spans="1:1" x14ac:dyDescent="0.15">
      <c r="A674">
        <v>11352238</v>
      </c>
    </row>
    <row r="675" spans="1:1" x14ac:dyDescent="0.15">
      <c r="A675">
        <v>19712552</v>
      </c>
    </row>
    <row r="676" spans="1:1" x14ac:dyDescent="0.15">
      <c r="A676">
        <v>1985097</v>
      </c>
    </row>
    <row r="677" spans="1:1" x14ac:dyDescent="0.15">
      <c r="A677">
        <v>32854257</v>
      </c>
    </row>
    <row r="678" spans="1:1" x14ac:dyDescent="0.15">
      <c r="A678">
        <v>9199770</v>
      </c>
    </row>
    <row r="679" spans="1:1" x14ac:dyDescent="0.15">
      <c r="A679">
        <v>29582582</v>
      </c>
    </row>
    <row r="680" spans="1:1" x14ac:dyDescent="0.15">
      <c r="A680">
        <v>32659906</v>
      </c>
    </row>
    <row r="681" spans="1:1" x14ac:dyDescent="0.15">
      <c r="A681">
        <v>33117738</v>
      </c>
    </row>
    <row r="682" spans="1:1" x14ac:dyDescent="0.15">
      <c r="A682">
        <v>11024135</v>
      </c>
    </row>
    <row r="683" spans="1:1" x14ac:dyDescent="0.15">
      <c r="A683">
        <v>24499465</v>
      </c>
    </row>
    <row r="684" spans="1:1" x14ac:dyDescent="0.15">
      <c r="A684">
        <v>31635338</v>
      </c>
    </row>
    <row r="685" spans="1:1" x14ac:dyDescent="0.15">
      <c r="A685">
        <v>28232516</v>
      </c>
    </row>
    <row r="686" spans="1:1" x14ac:dyDescent="0.15">
      <c r="A686">
        <v>29880824</v>
      </c>
    </row>
    <row r="687" spans="1:1" x14ac:dyDescent="0.15">
      <c r="A687">
        <v>1315257</v>
      </c>
    </row>
    <row r="688" spans="1:1" x14ac:dyDescent="0.15">
      <c r="A688">
        <v>8525613</v>
      </c>
    </row>
    <row r="689" spans="1:1" x14ac:dyDescent="0.15">
      <c r="A689" t="s">
        <v>74</v>
      </c>
    </row>
    <row r="690" spans="1:1" x14ac:dyDescent="0.15">
      <c r="A690">
        <v>14742549</v>
      </c>
    </row>
    <row r="691" spans="1:1" x14ac:dyDescent="0.15">
      <c r="A691">
        <v>35326558</v>
      </c>
    </row>
    <row r="692" spans="1:1" x14ac:dyDescent="0.15">
      <c r="A692">
        <v>8282779</v>
      </c>
    </row>
    <row r="693" spans="1:1" x14ac:dyDescent="0.15">
      <c r="A693">
        <v>32641054</v>
      </c>
    </row>
    <row r="694" spans="1:1" x14ac:dyDescent="0.15">
      <c r="A694" t="s">
        <v>74</v>
      </c>
    </row>
    <row r="695" spans="1:1" x14ac:dyDescent="0.15">
      <c r="A695">
        <v>35196550</v>
      </c>
    </row>
    <row r="696" spans="1:1" x14ac:dyDescent="0.15">
      <c r="A696">
        <v>34750787</v>
      </c>
    </row>
    <row r="697" spans="1:1" x14ac:dyDescent="0.15">
      <c r="A697">
        <v>30736860</v>
      </c>
    </row>
    <row r="698" spans="1:1" x14ac:dyDescent="0.15">
      <c r="A698">
        <v>35235898</v>
      </c>
    </row>
    <row r="699" spans="1:1" x14ac:dyDescent="0.15">
      <c r="A699">
        <v>28756229</v>
      </c>
    </row>
    <row r="700" spans="1:1" x14ac:dyDescent="0.15">
      <c r="A700">
        <v>33878123</v>
      </c>
    </row>
    <row r="701" spans="1:1" x14ac:dyDescent="0.15">
      <c r="A701">
        <v>8660406</v>
      </c>
    </row>
    <row r="702" spans="1:1" x14ac:dyDescent="0.15">
      <c r="A702">
        <v>28148795</v>
      </c>
    </row>
    <row r="703" spans="1:1" x14ac:dyDescent="0.15">
      <c r="A703">
        <v>33005912</v>
      </c>
    </row>
    <row r="704" spans="1:1" x14ac:dyDescent="0.15">
      <c r="A704">
        <v>8806491</v>
      </c>
    </row>
    <row r="705" spans="1:1" x14ac:dyDescent="0.15">
      <c r="A705">
        <v>30787346</v>
      </c>
    </row>
    <row r="706" spans="1:1" x14ac:dyDescent="0.15">
      <c r="A706">
        <v>31048354</v>
      </c>
    </row>
    <row r="707" spans="1:1" x14ac:dyDescent="0.15">
      <c r="A707">
        <v>28236306</v>
      </c>
    </row>
    <row r="708" spans="1:1" x14ac:dyDescent="0.15">
      <c r="A708">
        <v>30858545</v>
      </c>
    </row>
    <row r="709" spans="1:1" x14ac:dyDescent="0.15">
      <c r="A709">
        <v>21370216</v>
      </c>
    </row>
    <row r="710" spans="1:1" x14ac:dyDescent="0.15">
      <c r="A710">
        <v>34656690</v>
      </c>
    </row>
    <row r="711" spans="1:1" x14ac:dyDescent="0.15">
      <c r="A711">
        <v>34440945</v>
      </c>
    </row>
    <row r="712" spans="1:1" x14ac:dyDescent="0.15">
      <c r="A712">
        <v>31732191</v>
      </c>
    </row>
    <row r="713" spans="1:1" x14ac:dyDescent="0.15">
      <c r="A713">
        <v>32857097</v>
      </c>
    </row>
    <row r="714" spans="1:1" x14ac:dyDescent="0.15">
      <c r="A714">
        <v>18373740</v>
      </c>
    </row>
    <row r="715" spans="1:1" x14ac:dyDescent="0.15">
      <c r="A715">
        <v>20390294</v>
      </c>
    </row>
    <row r="716" spans="1:1" x14ac:dyDescent="0.15">
      <c r="A716">
        <v>30190889</v>
      </c>
    </row>
    <row r="717" spans="1:1" x14ac:dyDescent="0.15">
      <c r="A717">
        <v>35547750</v>
      </c>
    </row>
    <row r="718" spans="1:1" x14ac:dyDescent="0.15">
      <c r="A718">
        <v>32153563</v>
      </c>
    </row>
    <row r="719" spans="1:1" x14ac:dyDescent="0.15">
      <c r="A719">
        <v>26614026</v>
      </c>
    </row>
    <row r="720" spans="1:1" x14ac:dyDescent="0.15">
      <c r="A720">
        <v>29362731</v>
      </c>
    </row>
    <row r="721" spans="1:1" x14ac:dyDescent="0.15">
      <c r="A721">
        <v>29734033</v>
      </c>
    </row>
    <row r="722" spans="1:1" x14ac:dyDescent="0.15">
      <c r="A722">
        <v>33014799</v>
      </c>
    </row>
    <row r="723" spans="1:1" x14ac:dyDescent="0.15">
      <c r="A723">
        <v>27110565</v>
      </c>
    </row>
    <row r="724" spans="1:1" x14ac:dyDescent="0.15">
      <c r="A724">
        <v>25690152</v>
      </c>
    </row>
    <row r="725" spans="1:1" x14ac:dyDescent="0.15">
      <c r="A725">
        <v>17898544</v>
      </c>
    </row>
    <row r="726" spans="1:1" x14ac:dyDescent="0.15">
      <c r="A726">
        <v>9076578</v>
      </c>
    </row>
    <row r="727" spans="1:1" x14ac:dyDescent="0.15">
      <c r="A727">
        <v>29590649</v>
      </c>
    </row>
    <row r="728" spans="1:1" x14ac:dyDescent="0.15">
      <c r="A728" t="s">
        <v>74</v>
      </c>
    </row>
    <row r="729" spans="1:1" x14ac:dyDescent="0.15">
      <c r="A729">
        <v>34825908</v>
      </c>
    </row>
    <row r="730" spans="1:1" x14ac:dyDescent="0.15">
      <c r="A730">
        <v>1560052</v>
      </c>
    </row>
    <row r="731" spans="1:1" x14ac:dyDescent="0.15">
      <c r="A731">
        <v>22773185</v>
      </c>
    </row>
    <row r="732" spans="1:1" x14ac:dyDescent="0.15">
      <c r="A732">
        <v>30954730</v>
      </c>
    </row>
    <row r="733" spans="1:1" x14ac:dyDescent="0.15">
      <c r="A733">
        <v>34806897</v>
      </c>
    </row>
    <row r="734" spans="1:1" x14ac:dyDescent="0.15">
      <c r="A734" t="s">
        <v>74</v>
      </c>
    </row>
    <row r="735" spans="1:1" x14ac:dyDescent="0.15">
      <c r="A735">
        <v>28832110</v>
      </c>
    </row>
  </sheetData>
  <autoFilter ref="F1:F736" xr:uid="{00000000-0009-0000-0000-000003000000}">
    <sortState xmlns:xlrd2="http://schemas.microsoft.com/office/spreadsheetml/2017/richdata2" ref="E2:P736">
      <sortCondition sortBy="cellColor" ref="F1:F736" dxfId="3"/>
    </sortState>
  </autoFilter>
  <conditionalFormatting sqref="A1:B1048576">
    <cfRule type="duplicateValues" dxfId="2" priority="3" stopIfTrue="1"/>
  </conditionalFormatting>
  <conditionalFormatting sqref="E1:E230">
    <cfRule type="duplicateValues" dxfId="1" priority="2" stopIfTrue="1"/>
  </conditionalFormatting>
  <conditionalFormatting sqref="E1:F1048576">
    <cfRule type="duplicateValues" dxfId="0" priority="1" stopIfTrue="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combined 963 (pubmed in blue)</vt:lpstr>
      <vt:lpstr>web of science raw 734</vt:lpstr>
      <vt:lpstr>pubmed raw 428</vt:lpstr>
      <vt:lpstr>detect duplicates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dcterms:created xsi:type="dcterms:W3CDTF">2022-08-19T14:46:51Z</dcterms:created>
  <dcterms:modified xsi:type="dcterms:W3CDTF">2022-08-19T23:22:33Z</dcterms:modified>
</cp:coreProperties>
</file>